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r.b\Desktop\Corona Virus\מסלול הגנה על אקוויטי\נהלים\"/>
    </mc:Choice>
  </mc:AlternateContent>
  <bookViews>
    <workbookView xWindow="0" yWindow="0" windowWidth="23040" windowHeight="8676"/>
  </bookViews>
  <sheets>
    <sheet name="הסבר לשימוש בדוגמה" sheetId="3" r:id="rId1"/>
    <sheet name="דוגמה- לעלית ערך התיק  " sheetId="1" r:id="rId2"/>
    <sheet name="דוגמה- לירידת ערך 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E48" i="2"/>
  <c r="E47" i="2"/>
  <c r="U22" i="2"/>
  <c r="U19" i="2"/>
  <c r="U34" i="2"/>
  <c r="U35" i="2"/>
  <c r="U33" i="2"/>
  <c r="U32" i="2"/>
  <c r="I35" i="2"/>
  <c r="I33" i="2"/>
  <c r="I19" i="2"/>
  <c r="I17" i="2"/>
  <c r="U20" i="2"/>
  <c r="U16" i="2"/>
  <c r="U18" i="2"/>
  <c r="G16" i="2"/>
  <c r="U21" i="2"/>
  <c r="U17" i="2"/>
  <c r="E41" i="2"/>
  <c r="V35" i="2"/>
  <c r="D35" i="2"/>
  <c r="W34" i="2"/>
  <c r="E34" i="2"/>
  <c r="V33" i="2"/>
  <c r="D33" i="2"/>
  <c r="W33" i="2" s="1"/>
  <c r="A33" i="2"/>
  <c r="A34" i="2" s="1"/>
  <c r="A35" i="2" s="1"/>
  <c r="W32" i="2"/>
  <c r="E32" i="2"/>
  <c r="E36" i="2" s="1"/>
  <c r="E28" i="2"/>
  <c r="F22" i="2"/>
  <c r="G22" i="2" s="1"/>
  <c r="E22" i="2"/>
  <c r="W22" i="2" s="1"/>
  <c r="X22" i="2" s="1"/>
  <c r="F21" i="2"/>
  <c r="G21" i="2" s="1"/>
  <c r="E21" i="2"/>
  <c r="W21" i="2" s="1"/>
  <c r="X21" i="2" s="1"/>
  <c r="F20" i="2"/>
  <c r="G20" i="2" s="1"/>
  <c r="E20" i="2"/>
  <c r="W20" i="2" s="1"/>
  <c r="X20" i="2" s="1"/>
  <c r="F19" i="2"/>
  <c r="G19" i="2" s="1"/>
  <c r="E19" i="2"/>
  <c r="M19" i="2" s="1"/>
  <c r="O19" i="2" s="1"/>
  <c r="P19" i="2" s="1"/>
  <c r="R19" i="2" s="1"/>
  <c r="F18" i="2"/>
  <c r="G18" i="2" s="1"/>
  <c r="E18" i="2"/>
  <c r="W18" i="2" s="1"/>
  <c r="X18" i="2" s="1"/>
  <c r="F17" i="2"/>
  <c r="G17" i="2" s="1"/>
  <c r="E17" i="2"/>
  <c r="W17" i="2" s="1"/>
  <c r="X17" i="2" s="1"/>
  <c r="A17" i="2"/>
  <c r="A18" i="2" s="1"/>
  <c r="A19" i="2" s="1"/>
  <c r="A20" i="2" s="1"/>
  <c r="A21" i="2" s="1"/>
  <c r="A22" i="2" s="1"/>
  <c r="F16" i="2"/>
  <c r="E16" i="2"/>
  <c r="W16" i="2" s="1"/>
  <c r="X16" i="2" s="1"/>
  <c r="E10" i="2"/>
  <c r="W34" i="1"/>
  <c r="W32" i="1"/>
  <c r="V35" i="1"/>
  <c r="V33" i="1"/>
  <c r="I35" i="1"/>
  <c r="I33" i="1"/>
  <c r="U21" i="1"/>
  <c r="U20" i="1"/>
  <c r="I19" i="1"/>
  <c r="F17" i="1"/>
  <c r="G17" i="1" s="1"/>
  <c r="I17" i="1"/>
  <c r="W35" i="2" l="1"/>
  <c r="X34" i="2"/>
  <c r="X32" i="2"/>
  <c r="M33" i="2"/>
  <c r="N33" i="2" s="1"/>
  <c r="P33" i="2" s="1"/>
  <c r="M35" i="2"/>
  <c r="N35" i="2" s="1"/>
  <c r="P35" i="2" s="1"/>
  <c r="Y18" i="2"/>
  <c r="Q19" i="2"/>
  <c r="W19" i="2"/>
  <c r="X19" i="2" s="1"/>
  <c r="Y22" i="2"/>
  <c r="Y21" i="2"/>
  <c r="Y20" i="2"/>
  <c r="Y16" i="2"/>
  <c r="G23" i="2"/>
  <c r="M17" i="2"/>
  <c r="N19" i="2"/>
  <c r="E28" i="1"/>
  <c r="E32" i="1"/>
  <c r="A33" i="1"/>
  <c r="A34" i="1" s="1"/>
  <c r="A35" i="1" s="1"/>
  <c r="D33" i="1"/>
  <c r="E34" i="1"/>
  <c r="D35" i="1"/>
  <c r="E41" i="1"/>
  <c r="E48" i="1"/>
  <c r="U35" i="1"/>
  <c r="U34" i="1"/>
  <c r="X34" i="1" s="1"/>
  <c r="U33" i="1"/>
  <c r="U32" i="1"/>
  <c r="X32" i="1" s="1"/>
  <c r="U16" i="1"/>
  <c r="U22" i="1"/>
  <c r="U17" i="1"/>
  <c r="U19" i="1"/>
  <c r="U18" i="1"/>
  <c r="F22" i="1"/>
  <c r="G22" i="1" s="1"/>
  <c r="F21" i="1"/>
  <c r="G21" i="1" s="1"/>
  <c r="F20" i="1"/>
  <c r="G20" i="1" s="1"/>
  <c r="F19" i="1"/>
  <c r="G19" i="1" s="1"/>
  <c r="F18" i="1"/>
  <c r="G18" i="1" s="1"/>
  <c r="F16" i="1"/>
  <c r="G16" i="1" s="1"/>
  <c r="E22" i="1"/>
  <c r="E21" i="1"/>
  <c r="E20" i="1"/>
  <c r="E19" i="1"/>
  <c r="E18" i="1"/>
  <c r="E17" i="1"/>
  <c r="E16" i="1"/>
  <c r="A17" i="1"/>
  <c r="A18" i="1" s="1"/>
  <c r="A19" i="1" s="1"/>
  <c r="A20" i="1" s="1"/>
  <c r="A21" i="1" s="1"/>
  <c r="A22" i="1" s="1"/>
  <c r="E10" i="1"/>
  <c r="O33" i="2" l="1"/>
  <c r="X33" i="2" s="1"/>
  <c r="O35" i="2"/>
  <c r="X35" i="2" s="1"/>
  <c r="Y19" i="2"/>
  <c r="O17" i="2"/>
  <c r="N17" i="2"/>
  <c r="M35" i="1"/>
  <c r="W35" i="1"/>
  <c r="W33" i="1"/>
  <c r="M33" i="1"/>
  <c r="E36" i="1"/>
  <c r="M19" i="1"/>
  <c r="N19" i="1" s="1"/>
  <c r="W19" i="1"/>
  <c r="X19" i="1" s="1"/>
  <c r="W20" i="1"/>
  <c r="X20" i="1" s="1"/>
  <c r="Y20" i="1" s="1"/>
  <c r="W21" i="1"/>
  <c r="X21" i="1" s="1"/>
  <c r="Y21" i="1" s="1"/>
  <c r="W18" i="1"/>
  <c r="X18" i="1" s="1"/>
  <c r="Y18" i="1" s="1"/>
  <c r="W22" i="1"/>
  <c r="X22" i="1" s="1"/>
  <c r="Y22" i="1" s="1"/>
  <c r="W16" i="1"/>
  <c r="X16" i="1" s="1"/>
  <c r="Y16" i="1" s="1"/>
  <c r="W17" i="1"/>
  <c r="X17" i="1" s="1"/>
  <c r="M17" i="1"/>
  <c r="N17" i="1" s="1"/>
  <c r="G23" i="1"/>
  <c r="X36" i="2" l="1"/>
  <c r="P17" i="2"/>
  <c r="R17" i="2" s="1"/>
  <c r="N35" i="1"/>
  <c r="P35" i="1" s="1"/>
  <c r="O35" i="1"/>
  <c r="X35" i="1" s="1"/>
  <c r="N33" i="1"/>
  <c r="P33" i="1" s="1"/>
  <c r="O19" i="1"/>
  <c r="O17" i="1"/>
  <c r="Q17" i="2" l="1"/>
  <c r="Y17" i="2" s="1"/>
  <c r="Y23" i="2" s="1"/>
  <c r="E42" i="2" s="1"/>
  <c r="E43" i="2" s="1"/>
  <c r="E44" i="2" s="1"/>
  <c r="O33" i="1"/>
  <c r="X33" i="1" s="1"/>
  <c r="X36" i="1" s="1"/>
  <c r="P17" i="1"/>
  <c r="R17" i="1" s="1"/>
  <c r="P19" i="1"/>
  <c r="R19" i="1" s="1"/>
  <c r="Q19" i="1" l="1"/>
  <c r="Y19" i="1" s="1"/>
  <c r="Q17" i="1"/>
  <c r="Y17" i="1" s="1"/>
  <c r="Y23" i="1" l="1"/>
  <c r="E42" i="1" s="1"/>
  <c r="E43" i="1" s="1"/>
  <c r="E44" i="1" s="1"/>
  <c r="E50" i="1" l="1"/>
  <c r="E52" i="1" s="1"/>
</calcChain>
</file>

<file path=xl/sharedStrings.xml><?xml version="1.0" encoding="utf-8"?>
<sst xmlns="http://schemas.openxmlformats.org/spreadsheetml/2006/main" count="170" uniqueCount="78">
  <si>
    <t xml:space="preserve">שיעור החזקה בתאגיד ההשקעה </t>
  </si>
  <si>
    <t>השקעה בחברה א'</t>
  </si>
  <si>
    <t xml:space="preserve">מסגרת השקעה </t>
  </si>
  <si>
    <t>שיעור הקצאה להשקעה באמצעות תאגיד (השקעה עקיפה)</t>
  </si>
  <si>
    <t>סכום הקצאה להשקעה באמצעות תאגיד (השקעה עקיפה)</t>
  </si>
  <si>
    <t xml:space="preserve">השקעה </t>
  </si>
  <si>
    <t xml:space="preserve">שיעור ההחזקה של התאגיד </t>
  </si>
  <si>
    <t>השקעה בחברה ב'</t>
  </si>
  <si>
    <t>השקעה בחברה ג'</t>
  </si>
  <si>
    <t>השקעה בחברה ד'</t>
  </si>
  <si>
    <t>השקעה בחברה ה'</t>
  </si>
  <si>
    <t>השקעה בחברה ו'</t>
  </si>
  <si>
    <t>השקעה בחברה י'</t>
  </si>
  <si>
    <t>גודל הסיבוב (מיליוני ש"ח)</t>
  </si>
  <si>
    <t xml:space="preserve">סכום ההשקעה של התאגיד (מיליוני ש"ח) </t>
  </si>
  <si>
    <t xml:space="preserve">סכום ההשקעה של הגוף המוסדי (מיליוני ש"ח) </t>
  </si>
  <si>
    <t>שיעור ההחזקה של הגוף המוסדי בחברה</t>
  </si>
  <si>
    <t>שווי ההשקעה בתום תקופת התוכנית (8.5 שנים)</t>
  </si>
  <si>
    <t xml:space="preserve">שיעור החזקת התאגיד לאחר דילול </t>
  </si>
  <si>
    <t xml:space="preserve">שיעור ההחזקה של הגוף המוסדי </t>
  </si>
  <si>
    <t>שיעור הקצאה להשקעה ישירה</t>
  </si>
  <si>
    <t>סכום הקצאה להשקעה ישירה (מיליוני ש"ח)</t>
  </si>
  <si>
    <t>השקעה בתחקופה אפס (18 חודשי השקעה)</t>
  </si>
  <si>
    <t>סך גודל הסיבוב (מיליוני ש"ח)</t>
  </si>
  <si>
    <t>שווי החברה בתום התקופה (מיליוני ש"ח)</t>
  </si>
  <si>
    <t>שווי התיק בתום תקופת ההשקעה (18 חודשים)</t>
  </si>
  <si>
    <t>שווי התיק בתום תקופת ההתוכנית (8.5 שנים)</t>
  </si>
  <si>
    <t xml:space="preserve">סכום השינוי </t>
  </si>
  <si>
    <t>שיעור הגידול</t>
  </si>
  <si>
    <t xml:space="preserve">חישוב תשלום ההגנה </t>
  </si>
  <si>
    <t xml:space="preserve">שיעור הגידול ללא תשלום </t>
  </si>
  <si>
    <t>שיעור התשלום</t>
  </si>
  <si>
    <t>סכום התשלום לרשות החדשנות (מיליוני ש"ח)</t>
  </si>
  <si>
    <t>סכום הגידול לחישוב תשלום על ההגנה (מיליוני ש"ח)</t>
  </si>
  <si>
    <t>סכום הגידול ללא תשלום בגין הגנה (מיליוני ש"ח)</t>
  </si>
  <si>
    <t>שווי תיק ההשקעות של הגוף המוסדי</t>
  </si>
  <si>
    <t>שיעור ההחזקה של הגוף המוסדי (</t>
  </si>
  <si>
    <t xml:space="preserve">זמן שנותר עד לתום התוכנית </t>
  </si>
  <si>
    <t xml:space="preserve">מימושים שהיו במהלך תקופת התוכנית </t>
  </si>
  <si>
    <t>שיעור החזקת התאגיד לפני מימוש (לאחר דילול)</t>
  </si>
  <si>
    <t>שיעור החזקה נותר לתאגיד אחרי המימוש</t>
  </si>
  <si>
    <t xml:space="preserve">שווי החברה בתקופת המימוש </t>
  </si>
  <si>
    <t>סכום ההשקעה הנותר לגוף המוסדי (עלות)</t>
  </si>
  <si>
    <t>שיעור החזקת הגוף המוסדי לפני מימוש (לאחר דילול)</t>
  </si>
  <si>
    <t>שיעור החזקה נותר לגוף המוסדי אחרי המימוש</t>
  </si>
  <si>
    <t xml:space="preserve">שיעור המימוש </t>
  </si>
  <si>
    <t>שיעור הדילול לתקופת המימוש</t>
  </si>
  <si>
    <t>שיעור הדילול הכולל בתום תקופת ההחזקה</t>
  </si>
  <si>
    <t xml:space="preserve">שיעור הריבית שתשלם רשות החדשנות במקרה של מימוש לפני תום התקופה </t>
  </si>
  <si>
    <t>סכום השקעה אשר מומשה בתוספת ריבית שנתית-חלקו של המוסדי במימוש</t>
  </si>
  <si>
    <t>תקופת ההחזקה לאחר תקופת ההשקעה</t>
  </si>
  <si>
    <t>סכום ההשקעה הנותר לגוף המוסדי (מונחי עלות)</t>
  </si>
  <si>
    <t>שימוש בתאגיד השקעה יעודים (סעיף 7.5 למסלול ההטבה)</t>
  </si>
  <si>
    <t>השקעות שבוצעו באופן ישיר (סעיף 7.5 למסלול ההטבה)</t>
  </si>
  <si>
    <t xml:space="preserve">התחשבנות סופית עם רשות החדשנות </t>
  </si>
  <si>
    <t>שיעור הקיטון</t>
  </si>
  <si>
    <t xml:space="preserve">שיעור ההחזר אותו תעמיד המדינה </t>
  </si>
  <si>
    <t xml:space="preserve">סכום ההחזר שתעביר המדינה לגוף הוסדי </t>
  </si>
  <si>
    <t>שימוש בדוגמה</t>
  </si>
  <si>
    <t xml:space="preserve">הדוגמאות הבאות, מציגות את חישוב תיק ההשקעות אשר בונה הגוף המוסדי כחלק מתוכנית זו.  </t>
  </si>
  <si>
    <t>החישוב מציג דוגמה שניתנת לשינויים על ידכם ולהתאמנות נוספות, אך מייצר בקווים כללים את אופן ההתחשבנות בתום תקופת התוכנית (18 חודשי השקעה +7 שנים).</t>
  </si>
  <si>
    <t>הנחות:</t>
  </si>
  <si>
    <t>מנת ההגנה בדוגמאות הינה 350 מיליון דולר</t>
  </si>
  <si>
    <t>הגוף בחר להעמיד תאגיד השקעה ייעודי ולהשקיע כ-60% ממנת ההשקעה (הגבול העליון להקצאה בהתאם לסעיף 7.5 למסלול ההטבה)</t>
  </si>
  <si>
    <t xml:space="preserve">*כל השקעה נוספת שביצע התאגיד ולא עמדה בתנאי סעיף 2.7 למסלול ההטסה לא נלקחה בחשבון בחישוב זה </t>
  </si>
  <si>
    <t>הגוף יחזיק בשיעור של 70% בתאגיד ההשקעה היעודי.</t>
  </si>
  <si>
    <t xml:space="preserve">ההשקעות אשר נלקחות בחשבון לצורך חישוב ההטבה הינן אלו העומדות בסעיף 2.7 למסלול ההטבה ולכן הדוגמה מייצגת רק השקעות שהובאו בפועל לאישור רשות החדשנות ועמדו בהוראות המסלול. </t>
  </si>
  <si>
    <t>הדוגמה מציגה עלית ערך תיק ההשקעות אשר שיעור העליה עולה על 18.5%.</t>
  </si>
  <si>
    <t>במידה ושיעור התשואה הכוללת בתיק נמוכה מכך יש להיצמד להוראות המסלול.</t>
  </si>
  <si>
    <t>הדוגמה מציגה ירידת ערך תיק ההשקעות העולה על 40%.</t>
  </si>
  <si>
    <t>במידה ושיעור ירידת הערך נמוך מ-40% יש להיצמד להוראות המסלול.</t>
  </si>
  <si>
    <t>הדוגמה מניחה כי הגוף המוסדי עמד באבני הדרך לביצוע ההשקעות, בהתאם לסעיף 9.1 למסלול ההטבה.</t>
  </si>
  <si>
    <t>הדוגמה מניחה כי הגוף המוסדי ניצל את כל מנת ההשקעות ולא הגיש בקשה להגדלה בהתאם לסעיף 6.2 למסלול ההטבה.</t>
  </si>
  <si>
    <t xml:space="preserve">שיעור מתוך סך התשואה </t>
  </si>
  <si>
    <t>הדוגמה עומדת בהוראות סעיף 7.1 ו-7.2 ואינה מפרטת את סוגי ההשקעות רק את הסכומים.</t>
  </si>
  <si>
    <t>הדוגמה מחולקת לשני גיליונות כאשר , הגיליון הראשון מציג מצב של עלית ערך והשני מציג מצב של ירידת ערך.</t>
  </si>
  <si>
    <t>דוגמה לירידת ערך:</t>
  </si>
  <si>
    <t>דוגמה לעלית ערך: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</si>
</sst>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0.0%"/>
    <numFmt numFmtId="168" formatCode="_ * #,##0.0_ ;_ * \-#,##0.0_ ;_ * &quot;-&quot;??_ ;_ @_ "/>
  </numFmts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sz val="11"/>
      <color theme="1"/>
      <name val="Calibri"/>
      <family val="2"/>
    </font>
    <font>
      <b/>
      <sz val="11"/>
      <color rgb="FF3F3F3F"/>
      <name val="Calibri"/>
      <family val="2"/>
    </font>
    <font>
      <sz val="11"/>
      <color rgb="FF3F3F3F"/>
      <name val="Calibri"/>
      <family val="2"/>
    </font>
    <font>
      <b/>
      <sz val="11"/>
      <color theme="1"/>
      <name val="Calibri"/>
      <family val="2"/>
    </font>
    <font>
      <sz val="11"/>
      <color rgb="FF3F3F76"/>
      <name val="Arial"/>
      <family val="2"/>
      <charset val="177"/>
      <scheme val="minor"/>
    </font>
    <font>
      <sz val="11"/>
      <color rgb="FF3F3F76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660066"/>
        <bgColor indexed="64"/>
      </patternFill>
    </fill>
  </fills>
  <borders count="2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7" fillId="3" borderId="14" applyNumberFormat="0" applyAlignment="0" applyProtection="0"/>
  </cellStyleXfs>
  <cellXfs count="93">
    <xf numFmtId="0" fontId="0" fillId="0" borderId="0" xfId="0"/>
    <xf numFmtId="0" fontId="3" fillId="0" borderId="0" xfId="0" applyFont="1" applyAlignment="1">
      <alignment vertical="top"/>
    </xf>
    <xf numFmtId="164" fontId="5" fillId="2" borderId="1" xfId="1" applyNumberFormat="1" applyFont="1" applyFill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9" fontId="5" fillId="2" borderId="1" xfId="3" applyNumberFormat="1" applyFont="1" applyAlignment="1">
      <alignment horizontal="right" vertical="top"/>
    </xf>
    <xf numFmtId="43" fontId="5" fillId="2" borderId="1" xfId="1" applyFont="1" applyFill="1" applyBorder="1" applyAlignment="1">
      <alignment horizontal="right" vertical="top"/>
    </xf>
    <xf numFmtId="0" fontId="3" fillId="0" borderId="0" xfId="0" applyFont="1" applyAlignment="1">
      <alignment vertical="top" wrapText="1"/>
    </xf>
    <xf numFmtId="0" fontId="3" fillId="0" borderId="3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9" fontId="3" fillId="0" borderId="6" xfId="2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9" fontId="3" fillId="0" borderId="0" xfId="2" applyFont="1" applyBorder="1" applyAlignment="1">
      <alignment vertical="top"/>
    </xf>
    <xf numFmtId="164" fontId="3" fillId="0" borderId="6" xfId="1" applyNumberFormat="1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9" fontId="3" fillId="0" borderId="5" xfId="2" applyFont="1" applyBorder="1" applyAlignment="1">
      <alignment vertical="top"/>
    </xf>
    <xf numFmtId="9" fontId="3" fillId="0" borderId="2" xfId="2" applyFont="1" applyBorder="1" applyAlignment="1">
      <alignment vertical="top"/>
    </xf>
    <xf numFmtId="164" fontId="3" fillId="0" borderId="5" xfId="1" applyNumberFormat="1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6" fillId="0" borderId="0" xfId="0" applyFont="1" applyAlignment="1">
      <alignment vertical="top" wrapText="1"/>
    </xf>
    <xf numFmtId="9" fontId="3" fillId="0" borderId="3" xfId="2" applyNumberFormat="1" applyFont="1" applyBorder="1" applyAlignment="1">
      <alignment vertical="top"/>
    </xf>
    <xf numFmtId="9" fontId="3" fillId="0" borderId="4" xfId="2" applyNumberFormat="1" applyFont="1" applyBorder="1" applyAlignment="1">
      <alignment vertical="top"/>
    </xf>
    <xf numFmtId="164" fontId="4" fillId="2" borderId="1" xfId="1" applyNumberFormat="1" applyFont="1" applyFill="1" applyBorder="1" applyAlignment="1">
      <alignment horizontal="right" vertical="top"/>
    </xf>
    <xf numFmtId="164" fontId="4" fillId="2" borderId="11" xfId="1" applyNumberFormat="1" applyFont="1" applyFill="1" applyBorder="1" applyAlignment="1">
      <alignment horizontal="right" vertical="top"/>
    </xf>
    <xf numFmtId="164" fontId="5" fillId="2" borderId="12" xfId="1" applyNumberFormat="1" applyFont="1" applyFill="1" applyBorder="1" applyAlignment="1">
      <alignment horizontal="right" vertical="top"/>
    </xf>
    <xf numFmtId="164" fontId="6" fillId="0" borderId="7" xfId="0" applyNumberFormat="1" applyFont="1" applyBorder="1" applyAlignment="1">
      <alignment vertical="top"/>
    </xf>
    <xf numFmtId="165" fontId="6" fillId="0" borderId="0" xfId="2" applyNumberFormat="1" applyFont="1" applyAlignment="1">
      <alignment vertical="top"/>
    </xf>
    <xf numFmtId="9" fontId="5" fillId="2" borderId="13" xfId="2" applyFont="1" applyFill="1" applyBorder="1" applyAlignment="1">
      <alignment horizontal="right" vertical="top"/>
    </xf>
    <xf numFmtId="43" fontId="4" fillId="2" borderId="11" xfId="1" applyFont="1" applyFill="1" applyBorder="1" applyAlignment="1">
      <alignment horizontal="right" vertical="top"/>
    </xf>
    <xf numFmtId="165" fontId="5" fillId="2" borderId="11" xfId="3" applyNumberFormat="1" applyFont="1" applyBorder="1" applyAlignment="1">
      <alignment horizontal="right" vertical="top"/>
    </xf>
    <xf numFmtId="164" fontId="5" fillId="2" borderId="11" xfId="1" applyNumberFormat="1" applyFont="1" applyFill="1" applyBorder="1" applyAlignment="1">
      <alignment horizontal="right" vertical="top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164" fontId="3" fillId="0" borderId="0" xfId="0" applyNumberFormat="1" applyFont="1" applyAlignment="1">
      <alignment vertical="top"/>
    </xf>
    <xf numFmtId="10" fontId="3" fillId="0" borderId="0" xfId="2" applyNumberFormat="1" applyFont="1" applyAlignment="1">
      <alignment vertical="top"/>
    </xf>
    <xf numFmtId="43" fontId="3" fillId="0" borderId="6" xfId="1" applyNumberFormat="1" applyFont="1" applyBorder="1" applyAlignment="1">
      <alignment vertical="top"/>
    </xf>
    <xf numFmtId="0" fontId="6" fillId="0" borderId="1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3" fillId="0" borderId="16" xfId="0" applyFont="1" applyBorder="1" applyAlignment="1">
      <alignment vertical="top"/>
    </xf>
    <xf numFmtId="9" fontId="8" fillId="3" borderId="17" xfId="4" applyNumberFormat="1" applyFont="1" applyBorder="1" applyAlignment="1">
      <alignment vertical="top"/>
    </xf>
    <xf numFmtId="9" fontId="3" fillId="0" borderId="18" xfId="0" applyNumberFormat="1" applyFont="1" applyBorder="1" applyAlignment="1">
      <alignment vertical="top"/>
    </xf>
    <xf numFmtId="9" fontId="8" fillId="3" borderId="14" xfId="4" applyNumberFormat="1" applyFont="1" applyBorder="1" applyAlignment="1">
      <alignment vertical="top"/>
    </xf>
    <xf numFmtId="9" fontId="3" fillId="0" borderId="6" xfId="0" applyNumberFormat="1" applyFont="1" applyBorder="1" applyAlignment="1">
      <alignment vertical="top"/>
    </xf>
    <xf numFmtId="9" fontId="8" fillId="3" borderId="19" xfId="4" applyNumberFormat="1" applyFont="1" applyBorder="1" applyAlignment="1">
      <alignment vertical="top"/>
    </xf>
    <xf numFmtId="9" fontId="3" fillId="0" borderId="5" xfId="0" applyNumberFormat="1" applyFont="1" applyBorder="1" applyAlignment="1">
      <alignment vertical="top"/>
    </xf>
    <xf numFmtId="0" fontId="6" fillId="0" borderId="0" xfId="0" applyFont="1" applyAlignment="1">
      <alignment horizontal="center" vertical="top"/>
    </xf>
    <xf numFmtId="0" fontId="3" fillId="0" borderId="15" xfId="0" applyFont="1" applyBorder="1" applyAlignment="1">
      <alignment vertical="top" wrapText="1"/>
    </xf>
    <xf numFmtId="164" fontId="3" fillId="0" borderId="0" xfId="1" applyNumberFormat="1" applyFont="1" applyBorder="1" applyAlignment="1">
      <alignment vertical="top"/>
    </xf>
    <xf numFmtId="0" fontId="3" fillId="0" borderId="20" xfId="0" applyFont="1" applyBorder="1" applyAlignment="1">
      <alignment vertical="top"/>
    </xf>
    <xf numFmtId="164" fontId="3" fillId="0" borderId="20" xfId="0" applyNumberFormat="1" applyFont="1" applyBorder="1" applyAlignment="1">
      <alignment vertical="top"/>
    </xf>
    <xf numFmtId="0" fontId="3" fillId="0" borderId="21" xfId="0" applyFont="1" applyBorder="1" applyAlignment="1">
      <alignment vertical="top"/>
    </xf>
    <xf numFmtId="164" fontId="3" fillId="0" borderId="20" xfId="1" applyNumberFormat="1" applyFont="1" applyBorder="1" applyAlignment="1">
      <alignment vertical="top"/>
    </xf>
    <xf numFmtId="9" fontId="3" fillId="0" borderId="20" xfId="2" applyNumberFormat="1" applyFont="1" applyBorder="1" applyAlignment="1">
      <alignment vertical="top"/>
    </xf>
    <xf numFmtId="9" fontId="3" fillId="0" borderId="20" xfId="0" applyNumberFormat="1" applyFont="1" applyBorder="1" applyAlignment="1">
      <alignment vertical="top"/>
    </xf>
    <xf numFmtId="9" fontId="8" fillId="3" borderId="22" xfId="4" applyNumberFormat="1" applyFont="1" applyBorder="1" applyAlignment="1">
      <alignment vertical="top"/>
    </xf>
    <xf numFmtId="9" fontId="8" fillId="3" borderId="23" xfId="4" applyNumberFormat="1" applyFont="1" applyBorder="1" applyAlignment="1">
      <alignment vertical="top"/>
    </xf>
    <xf numFmtId="164" fontId="8" fillId="3" borderId="23" xfId="1" applyNumberFormat="1" applyFont="1" applyFill="1" applyBorder="1" applyAlignment="1">
      <alignment vertical="top"/>
    </xf>
    <xf numFmtId="168" fontId="3" fillId="0" borderId="3" xfId="1" applyNumberFormat="1" applyFont="1" applyBorder="1" applyAlignment="1">
      <alignment vertical="top"/>
    </xf>
    <xf numFmtId="168" fontId="3" fillId="0" borderId="4" xfId="1" applyNumberFormat="1" applyFont="1" applyBorder="1" applyAlignment="1">
      <alignment vertical="top"/>
    </xf>
    <xf numFmtId="164" fontId="3" fillId="0" borderId="3" xfId="1" applyNumberFormat="1" applyFont="1" applyBorder="1" applyAlignment="1">
      <alignment vertical="top"/>
    </xf>
    <xf numFmtId="164" fontId="3" fillId="0" borderId="4" xfId="1" applyNumberFormat="1" applyFont="1" applyBorder="1" applyAlignment="1">
      <alignment vertical="top"/>
    </xf>
    <xf numFmtId="168" fontId="8" fillId="3" borderId="23" xfId="1" applyNumberFormat="1" applyFont="1" applyFill="1" applyBorder="1" applyAlignment="1">
      <alignment vertical="top"/>
    </xf>
    <xf numFmtId="168" fontId="3" fillId="0" borderId="20" xfId="0" applyNumberFormat="1" applyFont="1" applyBorder="1" applyAlignment="1">
      <alignment vertical="top"/>
    </xf>
    <xf numFmtId="168" fontId="3" fillId="0" borderId="20" xfId="1" applyNumberFormat="1" applyFont="1" applyBorder="1" applyAlignment="1">
      <alignment vertical="top"/>
    </xf>
    <xf numFmtId="9" fontId="8" fillId="3" borderId="25" xfId="4" applyNumberFormat="1" applyFont="1" applyBorder="1" applyAlignment="1">
      <alignment vertical="top"/>
    </xf>
    <xf numFmtId="10" fontId="8" fillId="3" borderId="22" xfId="4" applyNumberFormat="1" applyFont="1" applyBorder="1" applyAlignment="1">
      <alignment vertical="top"/>
    </xf>
    <xf numFmtId="43" fontId="3" fillId="0" borderId="18" xfId="1" applyNumberFormat="1" applyFont="1" applyBorder="1" applyAlignment="1">
      <alignment vertical="top"/>
    </xf>
    <xf numFmtId="43" fontId="3" fillId="0" borderId="5" xfId="1" applyNumberFormat="1" applyFont="1" applyBorder="1" applyAlignment="1">
      <alignment vertical="top"/>
    </xf>
    <xf numFmtId="0" fontId="6" fillId="0" borderId="18" xfId="0" applyFont="1" applyBorder="1" applyAlignment="1">
      <alignment vertical="top" wrapText="1"/>
    </xf>
    <xf numFmtId="9" fontId="3" fillId="0" borderId="16" xfId="0" applyNumberFormat="1" applyFont="1" applyBorder="1" applyAlignment="1">
      <alignment vertical="top"/>
    </xf>
    <xf numFmtId="9" fontId="3" fillId="0" borderId="3" xfId="0" applyNumberFormat="1" applyFont="1" applyBorder="1" applyAlignment="1">
      <alignment vertical="top"/>
    </xf>
    <xf numFmtId="9" fontId="3" fillId="0" borderId="4" xfId="0" applyNumberFormat="1" applyFont="1" applyBorder="1" applyAlignment="1">
      <alignment vertical="top"/>
    </xf>
    <xf numFmtId="164" fontId="3" fillId="0" borderId="16" xfId="1" applyNumberFormat="1" applyFont="1" applyBorder="1" applyAlignment="1">
      <alignment vertical="top"/>
    </xf>
    <xf numFmtId="0" fontId="3" fillId="0" borderId="24" xfId="0" applyFont="1" applyBorder="1" applyAlignment="1">
      <alignment vertical="top"/>
    </xf>
    <xf numFmtId="168" fontId="8" fillId="3" borderId="26" xfId="1" applyNumberFormat="1" applyFont="1" applyFill="1" applyBorder="1" applyAlignment="1">
      <alignment vertical="top"/>
    </xf>
    <xf numFmtId="9" fontId="8" fillId="3" borderId="26" xfId="4" applyNumberFormat="1" applyFont="1" applyBorder="1" applyAlignment="1">
      <alignment vertical="top"/>
    </xf>
    <xf numFmtId="9" fontId="3" fillId="0" borderId="21" xfId="2" applyNumberFormat="1" applyFont="1" applyBorder="1" applyAlignment="1">
      <alignment vertical="top"/>
    </xf>
    <xf numFmtId="164" fontId="3" fillId="0" borderId="21" xfId="1" applyNumberFormat="1" applyFont="1" applyBorder="1" applyAlignment="1">
      <alignment vertical="top"/>
    </xf>
    <xf numFmtId="164" fontId="3" fillId="0" borderId="21" xfId="0" applyNumberFormat="1" applyFont="1" applyBorder="1" applyAlignment="1">
      <alignment vertical="top"/>
    </xf>
    <xf numFmtId="0" fontId="3" fillId="4" borderId="0" xfId="0" applyFont="1" applyFill="1" applyAlignment="1">
      <alignment vertical="top"/>
    </xf>
    <xf numFmtId="0" fontId="3" fillId="4" borderId="0" xfId="0" applyFont="1" applyFill="1" applyAlignment="1">
      <alignment horizontal="right" vertical="top"/>
    </xf>
    <xf numFmtId="0" fontId="0" fillId="4" borderId="0" xfId="0" applyFill="1"/>
    <xf numFmtId="0" fontId="9" fillId="4" borderId="0" xfId="0" applyFont="1" applyFill="1" applyAlignment="1">
      <alignment vertical="top"/>
    </xf>
    <xf numFmtId="168" fontId="3" fillId="0" borderId="16" xfId="1" applyNumberFormat="1" applyFont="1" applyBorder="1" applyAlignment="1">
      <alignment vertical="top"/>
    </xf>
    <xf numFmtId="0" fontId="3" fillId="4" borderId="0" xfId="0" applyFont="1" applyFill="1"/>
    <xf numFmtId="0" fontId="3" fillId="0" borderId="0" xfId="0" applyFont="1"/>
    <xf numFmtId="49" fontId="3" fillId="0" borderId="0" xfId="0" applyNumberFormat="1" applyFont="1" applyAlignment="1">
      <alignment horizontal="right" readingOrder="2"/>
    </xf>
    <xf numFmtId="0" fontId="6" fillId="0" borderId="0" xfId="0" applyFont="1"/>
  </cellXfs>
  <cellStyles count="5">
    <cellStyle name="Comma" xfId="1" builtinId="3"/>
    <cellStyle name="Input" xfId="4" builtinId="20"/>
    <cellStyle name="Normal" xfId="0" builtinId="0"/>
    <cellStyle name="Output" xfId="3" builtinId="21"/>
    <cellStyle name="Percent" xfId="2" builtinId="5"/>
  </cellStyles>
  <dxfs count="0"/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21"/>
  <sheetViews>
    <sheetView showGridLines="0" rightToLeft="1" tabSelected="1" workbookViewId="0">
      <selection activeCell="A27" sqref="A27"/>
    </sheetView>
  </sheetViews>
  <sheetFormatPr defaultRowHeight="14.4" x14ac:dyDescent="0.3"/>
  <cols>
    <col min="1" max="16384" width="8.796875" style="90"/>
  </cols>
  <sheetData>
    <row r="1" spans="1:5" s="89" customFormat="1" x14ac:dyDescent="0.3">
      <c r="A1" s="87" t="s">
        <v>58</v>
      </c>
      <c r="B1" s="84"/>
      <c r="C1" s="84"/>
      <c r="D1" s="84"/>
      <c r="E1" s="85"/>
    </row>
    <row r="2" spans="1:5" x14ac:dyDescent="0.3">
      <c r="A2" s="90" t="s">
        <v>59</v>
      </c>
    </row>
    <row r="3" spans="1:5" x14ac:dyDescent="0.3">
      <c r="A3" s="90" t="s">
        <v>60</v>
      </c>
    </row>
    <row r="4" spans="1:5" x14ac:dyDescent="0.3">
      <c r="A4" s="90" t="s">
        <v>75</v>
      </c>
    </row>
    <row r="6" spans="1:5" x14ac:dyDescent="0.3">
      <c r="A6" s="92" t="s">
        <v>61</v>
      </c>
    </row>
    <row r="7" spans="1:5" x14ac:dyDescent="0.3">
      <c r="A7" s="90" t="s">
        <v>62</v>
      </c>
    </row>
    <row r="8" spans="1:5" x14ac:dyDescent="0.3">
      <c r="A8" s="90" t="s">
        <v>63</v>
      </c>
    </row>
    <row r="9" spans="1:5" x14ac:dyDescent="0.3">
      <c r="A9" s="90" t="s">
        <v>65</v>
      </c>
    </row>
    <row r="10" spans="1:5" x14ac:dyDescent="0.3">
      <c r="A10" s="90" t="s">
        <v>66</v>
      </c>
    </row>
    <row r="11" spans="1:5" x14ac:dyDescent="0.3">
      <c r="A11" s="90" t="s">
        <v>71</v>
      </c>
    </row>
    <row r="12" spans="1:5" x14ac:dyDescent="0.3">
      <c r="A12" s="90" t="s">
        <v>72</v>
      </c>
    </row>
    <row r="13" spans="1:5" x14ac:dyDescent="0.3">
      <c r="A13" s="90" t="s">
        <v>74</v>
      </c>
    </row>
    <row r="15" spans="1:5" x14ac:dyDescent="0.3">
      <c r="A15" s="92" t="s">
        <v>77</v>
      </c>
    </row>
    <row r="16" spans="1:5" x14ac:dyDescent="0.3">
      <c r="A16" s="90" t="s">
        <v>67</v>
      </c>
    </row>
    <row r="17" spans="1:1" x14ac:dyDescent="0.3">
      <c r="A17" s="90" t="s">
        <v>68</v>
      </c>
    </row>
    <row r="19" spans="1:1" x14ac:dyDescent="0.3">
      <c r="A19" s="92" t="s">
        <v>76</v>
      </c>
    </row>
    <row r="20" spans="1:1" x14ac:dyDescent="0.3">
      <c r="A20" s="90" t="s">
        <v>69</v>
      </c>
    </row>
    <row r="21" spans="1:1" x14ac:dyDescent="0.3">
      <c r="A21" s="90" t="s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Z53"/>
  <sheetViews>
    <sheetView showGridLines="0" rightToLeft="1" zoomScaleNormal="100" workbookViewId="0"/>
  </sheetViews>
  <sheetFormatPr defaultRowHeight="14.4" x14ac:dyDescent="0.25"/>
  <cols>
    <col min="1" max="1" width="2.5" style="1" customWidth="1"/>
    <col min="2" max="3" width="15.296875" style="1" customWidth="1"/>
    <col min="4" max="4" width="18.3984375" style="1" customWidth="1"/>
    <col min="5" max="6" width="14.796875" style="1" customWidth="1"/>
    <col min="7" max="7" width="17.296875" style="1" customWidth="1"/>
    <col min="8" max="8" width="10.796875" style="1" customWidth="1"/>
    <col min="9" max="9" width="15.8984375" style="1" customWidth="1"/>
    <col min="10" max="12" width="11.5" style="1" customWidth="1"/>
    <col min="13" max="14" width="17.59765625" style="1" customWidth="1"/>
    <col min="15" max="16" width="17" style="1" customWidth="1"/>
    <col min="17" max="17" width="19.296875" style="1" customWidth="1"/>
    <col min="18" max="18" width="14.69921875" style="1" customWidth="1"/>
    <col min="19" max="16384" width="8.796875" style="1"/>
  </cols>
  <sheetData>
    <row r="1" spans="1:26" customFormat="1" ht="13.8" x14ac:dyDescent="0.25"/>
    <row r="2" spans="1:26" customFormat="1" x14ac:dyDescent="0.25">
      <c r="A2" s="1" t="s">
        <v>48</v>
      </c>
      <c r="E2" s="60">
        <v>0.01</v>
      </c>
    </row>
    <row r="3" spans="1:26" customFormat="1" x14ac:dyDescent="0.25">
      <c r="A3" s="1" t="s">
        <v>50</v>
      </c>
      <c r="E3" s="61">
        <v>7</v>
      </c>
    </row>
    <row r="4" spans="1:26" customFormat="1" ht="13.8" x14ac:dyDescent="0.25"/>
    <row r="5" spans="1:26" customFormat="1" x14ac:dyDescent="0.25">
      <c r="A5" s="1" t="s">
        <v>2</v>
      </c>
      <c r="B5" s="1"/>
      <c r="C5" s="1"/>
      <c r="D5" s="1"/>
      <c r="E5" s="2">
        <v>350</v>
      </c>
    </row>
    <row r="6" spans="1:26" customFormat="1" x14ac:dyDescent="0.25">
      <c r="A6" s="1"/>
      <c r="B6" s="1"/>
      <c r="C6" s="1"/>
      <c r="D6" s="1"/>
      <c r="E6" s="3"/>
    </row>
    <row r="7" spans="1:26" s="86" customFormat="1" x14ac:dyDescent="0.25">
      <c r="A7" s="87" t="s">
        <v>52</v>
      </c>
      <c r="B7" s="84"/>
      <c r="C7" s="84"/>
      <c r="D7" s="84"/>
      <c r="E7" s="85"/>
    </row>
    <row r="8" spans="1:26" customFormat="1" x14ac:dyDescent="0.25">
      <c r="A8" s="1"/>
      <c r="B8" s="1"/>
      <c r="C8" s="1"/>
      <c r="D8" s="1"/>
      <c r="E8" s="3"/>
    </row>
    <row r="9" spans="1:26" customFormat="1" x14ac:dyDescent="0.25">
      <c r="A9" s="1" t="s">
        <v>3</v>
      </c>
      <c r="B9" s="1"/>
      <c r="C9" s="1"/>
      <c r="D9" s="1"/>
      <c r="E9" s="4">
        <v>0.6</v>
      </c>
    </row>
    <row r="10" spans="1:26" customFormat="1" x14ac:dyDescent="0.25">
      <c r="A10" s="1" t="s">
        <v>4</v>
      </c>
      <c r="B10" s="1"/>
      <c r="C10" s="1"/>
      <c r="D10" s="1"/>
      <c r="E10" s="2">
        <f>E9*E5</f>
        <v>210</v>
      </c>
    </row>
    <row r="11" spans="1:26" customFormat="1" x14ac:dyDescent="0.25">
      <c r="A11" s="1" t="s">
        <v>0</v>
      </c>
      <c r="B11" s="1"/>
      <c r="C11" s="1"/>
      <c r="D11" s="1"/>
      <c r="E11" s="4">
        <v>0.7</v>
      </c>
    </row>
    <row r="12" spans="1:26" customFormat="1" ht="13.8" x14ac:dyDescent="0.25"/>
    <row r="13" spans="1:26" customFormat="1" ht="13.8" x14ac:dyDescent="0.25"/>
    <row r="14" spans="1:26" ht="13.8" customHeight="1" x14ac:dyDescent="0.25">
      <c r="C14" s="36" t="s">
        <v>22</v>
      </c>
      <c r="D14" s="36"/>
      <c r="E14" s="36"/>
      <c r="F14" s="36"/>
      <c r="G14" s="36"/>
      <c r="I14" s="50" t="s">
        <v>38</v>
      </c>
      <c r="J14" s="50"/>
      <c r="K14" s="50"/>
      <c r="L14" s="50"/>
      <c r="M14" s="50"/>
      <c r="N14" s="50"/>
      <c r="O14" s="50"/>
      <c r="P14" s="50"/>
      <c r="Q14" s="50"/>
      <c r="R14" s="50"/>
      <c r="U14" s="37" t="s">
        <v>17</v>
      </c>
      <c r="V14" s="37"/>
      <c r="W14" s="37"/>
      <c r="X14" s="37"/>
      <c r="Y14" s="37"/>
      <c r="Z14" s="24"/>
    </row>
    <row r="15" spans="1:26" s="6" customFormat="1" ht="46.2" customHeight="1" x14ac:dyDescent="0.25">
      <c r="A15" s="12"/>
      <c r="B15" s="15" t="s">
        <v>5</v>
      </c>
      <c r="C15" s="13" t="s">
        <v>23</v>
      </c>
      <c r="D15" s="14" t="s">
        <v>14</v>
      </c>
      <c r="E15" s="15" t="s">
        <v>6</v>
      </c>
      <c r="F15" s="13" t="s">
        <v>16</v>
      </c>
      <c r="G15" s="15" t="s">
        <v>15</v>
      </c>
      <c r="I15" s="12" t="s">
        <v>41</v>
      </c>
      <c r="J15" s="51" t="s">
        <v>37</v>
      </c>
      <c r="K15" s="51" t="s">
        <v>45</v>
      </c>
      <c r="L15" s="51" t="s">
        <v>46</v>
      </c>
      <c r="M15" s="51" t="s">
        <v>39</v>
      </c>
      <c r="N15" s="51" t="s">
        <v>40</v>
      </c>
      <c r="O15" s="51" t="s">
        <v>43</v>
      </c>
      <c r="P15" s="51" t="s">
        <v>44</v>
      </c>
      <c r="Q15" s="51" t="s">
        <v>49</v>
      </c>
      <c r="R15" s="51" t="s">
        <v>51</v>
      </c>
      <c r="U15" s="41" t="s">
        <v>24</v>
      </c>
      <c r="V15" s="24" t="s">
        <v>47</v>
      </c>
      <c r="W15" s="42" t="s">
        <v>18</v>
      </c>
      <c r="X15" s="14" t="s">
        <v>36</v>
      </c>
      <c r="Y15" s="15" t="s">
        <v>15</v>
      </c>
    </row>
    <row r="16" spans="1:26" x14ac:dyDescent="0.25">
      <c r="A16" s="7">
        <v>1</v>
      </c>
      <c r="B16" s="9" t="s">
        <v>1</v>
      </c>
      <c r="C16" s="8">
        <v>50</v>
      </c>
      <c r="D16" s="7">
        <v>21</v>
      </c>
      <c r="E16" s="10">
        <f>D16/C16</f>
        <v>0.42</v>
      </c>
      <c r="F16" s="16">
        <f>(D16*$E$11)/C16</f>
        <v>0.29399999999999998</v>
      </c>
      <c r="G16" s="17">
        <f>F16*C16</f>
        <v>14.7</v>
      </c>
      <c r="I16" s="64"/>
      <c r="J16" s="53"/>
      <c r="K16" s="53"/>
      <c r="L16" s="53"/>
      <c r="M16" s="53"/>
      <c r="N16" s="53"/>
      <c r="O16" s="53"/>
      <c r="P16" s="53"/>
      <c r="Q16" s="53"/>
      <c r="R16" s="53"/>
      <c r="U16" s="43">
        <f>C16*3.5</f>
        <v>175</v>
      </c>
      <c r="V16" s="44">
        <v>0.1</v>
      </c>
      <c r="W16" s="45">
        <f>E16*(1-V16)</f>
        <v>0.378</v>
      </c>
      <c r="X16" s="25">
        <f>W16*$E$11</f>
        <v>0.2646</v>
      </c>
      <c r="Y16" s="17">
        <f>X16*U16</f>
        <v>46.305</v>
      </c>
    </row>
    <row r="17" spans="1:25" x14ac:dyDescent="0.25">
      <c r="A17" s="7">
        <f>A16+1</f>
        <v>2</v>
      </c>
      <c r="B17" s="9" t="s">
        <v>7</v>
      </c>
      <c r="C17" s="8">
        <v>100</v>
      </c>
      <c r="D17" s="7">
        <v>50</v>
      </c>
      <c r="E17" s="10">
        <f t="shared" ref="E17:E22" si="0">D17/C17</f>
        <v>0.5</v>
      </c>
      <c r="F17" s="16">
        <f>(D17*$E$11)/C17</f>
        <v>0.35</v>
      </c>
      <c r="G17" s="17">
        <f>F17*C17</f>
        <v>35</v>
      </c>
      <c r="I17" s="64">
        <f>C17*2.5</f>
        <v>250</v>
      </c>
      <c r="J17" s="66">
        <v>5</v>
      </c>
      <c r="K17" s="60">
        <v>0.5</v>
      </c>
      <c r="L17" s="60">
        <v>0.05</v>
      </c>
      <c r="M17" s="57">
        <f>E17*(1-L17)</f>
        <v>0.47499999999999998</v>
      </c>
      <c r="N17" s="57">
        <f>M17*(1-K17)</f>
        <v>0.23749999999999999</v>
      </c>
      <c r="O17" s="57">
        <f>M17*$E$11</f>
        <v>0.33249999999999996</v>
      </c>
      <c r="P17" s="57">
        <f>O17*K17</f>
        <v>0.16624999999999998</v>
      </c>
      <c r="Q17" s="56">
        <f>(I17*((1+$E$2)^($E$3-J17)))*(O17-P17)</f>
        <v>42.397906249999998</v>
      </c>
      <c r="R17" s="54">
        <f>C17*P17</f>
        <v>16.624999999999996</v>
      </c>
      <c r="S17" s="38"/>
      <c r="U17" s="7">
        <f>C17*4</f>
        <v>400</v>
      </c>
      <c r="V17" s="46">
        <v>0.1</v>
      </c>
      <c r="W17" s="47">
        <f>E17*(1-V17-L17)*K17</f>
        <v>0.21249999999999999</v>
      </c>
      <c r="X17" s="25">
        <f>W17*$E$11</f>
        <v>0.14874999999999999</v>
      </c>
      <c r="Y17" s="17">
        <f>X17*U17+Q17</f>
        <v>101.89790625000001</v>
      </c>
    </row>
    <row r="18" spans="1:25" x14ac:dyDescent="0.25">
      <c r="A18" s="7">
        <f t="shared" ref="A18:A20" si="1">A17+1</f>
        <v>3</v>
      </c>
      <c r="B18" s="9" t="s">
        <v>8</v>
      </c>
      <c r="C18" s="8">
        <v>120</v>
      </c>
      <c r="D18" s="7">
        <v>70</v>
      </c>
      <c r="E18" s="10">
        <f t="shared" si="0"/>
        <v>0.58333333333333337</v>
      </c>
      <c r="F18" s="16">
        <f>(D18*$E$11)/C18</f>
        <v>0.40833333333333333</v>
      </c>
      <c r="G18" s="17">
        <f t="shared" ref="G18:G22" si="2">F18*C18</f>
        <v>49</v>
      </c>
      <c r="I18" s="64"/>
      <c r="J18" s="68"/>
      <c r="K18" s="53"/>
      <c r="L18" s="53"/>
      <c r="M18" s="53"/>
      <c r="N18" s="58"/>
      <c r="O18" s="58"/>
      <c r="P18" s="53"/>
      <c r="Q18" s="53"/>
      <c r="R18" s="53"/>
      <c r="U18" s="7">
        <f>C18*4</f>
        <v>480</v>
      </c>
      <c r="V18" s="46">
        <v>0.5</v>
      </c>
      <c r="W18" s="47">
        <f>E18*(1-V18)</f>
        <v>0.29166666666666669</v>
      </c>
      <c r="X18" s="25">
        <f>W18*$E$11</f>
        <v>0.20416666666666666</v>
      </c>
      <c r="Y18" s="17">
        <f>X18*U18</f>
        <v>98</v>
      </c>
    </row>
    <row r="19" spans="1:25" x14ac:dyDescent="0.25">
      <c r="A19" s="7">
        <f t="shared" si="1"/>
        <v>4</v>
      </c>
      <c r="B19" s="9" t="s">
        <v>9</v>
      </c>
      <c r="C19" s="8">
        <v>90</v>
      </c>
      <c r="D19" s="7">
        <v>45</v>
      </c>
      <c r="E19" s="10">
        <f t="shared" si="0"/>
        <v>0.5</v>
      </c>
      <c r="F19" s="16">
        <f>(D19*$E$11)/C19</f>
        <v>0.35</v>
      </c>
      <c r="G19" s="17">
        <f t="shared" si="2"/>
        <v>31.499999999999996</v>
      </c>
      <c r="I19" s="64">
        <f>C19*2</f>
        <v>180</v>
      </c>
      <c r="J19" s="66">
        <v>3</v>
      </c>
      <c r="K19" s="60">
        <v>0.4</v>
      </c>
      <c r="L19" s="60">
        <v>2.5000000000000001E-2</v>
      </c>
      <c r="M19" s="57">
        <f>E19*(1-L19)</f>
        <v>0.48749999999999999</v>
      </c>
      <c r="N19" s="57">
        <f>M19*(1-K19)</f>
        <v>0.29249999999999998</v>
      </c>
      <c r="O19" s="57">
        <f>M19*$E$11</f>
        <v>0.34125</v>
      </c>
      <c r="P19" s="57">
        <f>O19*K19</f>
        <v>0.13650000000000001</v>
      </c>
      <c r="Q19" s="56">
        <f>(I19*((1+$E$2)^($E$3-J19)))*(O19-P19)</f>
        <v>38.35146078855</v>
      </c>
      <c r="R19" s="54">
        <f>C19*P19</f>
        <v>12.285</v>
      </c>
      <c r="U19" s="7">
        <f>C19*5</f>
        <v>450</v>
      </c>
      <c r="V19" s="46">
        <v>0.35</v>
      </c>
      <c r="W19" s="47">
        <f>E19*(1-V19-L19)*K19</f>
        <v>0.125</v>
      </c>
      <c r="X19" s="25">
        <f>W19*$E$11</f>
        <v>8.7499999999999994E-2</v>
      </c>
      <c r="Y19" s="17">
        <f>X19*U19+Q19</f>
        <v>77.72646078855</v>
      </c>
    </row>
    <row r="20" spans="1:25" x14ac:dyDescent="0.25">
      <c r="A20" s="7">
        <f t="shared" si="1"/>
        <v>5</v>
      </c>
      <c r="B20" s="9" t="s">
        <v>10</v>
      </c>
      <c r="C20" s="8">
        <v>70</v>
      </c>
      <c r="D20" s="7">
        <v>50</v>
      </c>
      <c r="E20" s="10">
        <f t="shared" si="0"/>
        <v>0.7142857142857143</v>
      </c>
      <c r="F20" s="16">
        <f>(D20*$E$11)/C20</f>
        <v>0.5</v>
      </c>
      <c r="G20" s="17">
        <f t="shared" si="2"/>
        <v>35</v>
      </c>
      <c r="I20" s="64"/>
      <c r="J20" s="53"/>
      <c r="K20" s="53"/>
      <c r="L20" s="53"/>
      <c r="M20" s="53"/>
      <c r="N20" s="53"/>
      <c r="O20" s="53"/>
      <c r="P20" s="53"/>
      <c r="Q20" s="53"/>
      <c r="R20" s="53"/>
      <c r="U20" s="7">
        <f>C20*1.5</f>
        <v>105</v>
      </c>
      <c r="V20" s="46">
        <v>0.35</v>
      </c>
      <c r="W20" s="47">
        <f>E20*(1-V20)</f>
        <v>0.4642857142857143</v>
      </c>
      <c r="X20" s="25">
        <f>W20*$E$11</f>
        <v>0.32500000000000001</v>
      </c>
      <c r="Y20" s="17">
        <f>X20*U20</f>
        <v>34.125</v>
      </c>
    </row>
    <row r="21" spans="1:25" x14ac:dyDescent="0.25">
      <c r="A21" s="7">
        <f t="shared" ref="A21:A22" si="3">A20+1</f>
        <v>6</v>
      </c>
      <c r="B21" s="9" t="s">
        <v>11</v>
      </c>
      <c r="C21" s="8">
        <v>40</v>
      </c>
      <c r="D21" s="7">
        <v>14</v>
      </c>
      <c r="E21" s="10">
        <f t="shared" si="0"/>
        <v>0.35</v>
      </c>
      <c r="F21" s="16">
        <f>(D21*$E$11)/C21</f>
        <v>0.24499999999999997</v>
      </c>
      <c r="G21" s="17">
        <f t="shared" si="2"/>
        <v>9.7999999999999989</v>
      </c>
      <c r="I21" s="64"/>
      <c r="J21" s="53"/>
      <c r="K21" s="53"/>
      <c r="L21" s="53"/>
      <c r="M21" s="53"/>
      <c r="N21" s="53"/>
      <c r="O21" s="53"/>
      <c r="P21" s="53"/>
      <c r="Q21" s="53"/>
      <c r="R21" s="53"/>
      <c r="U21" s="7">
        <f>C21*0.2</f>
        <v>8</v>
      </c>
      <c r="V21" s="46">
        <v>0.05</v>
      </c>
      <c r="W21" s="47">
        <f>E21*(1-V21)</f>
        <v>0.33249999999999996</v>
      </c>
      <c r="X21" s="25">
        <f>W21*$E$11</f>
        <v>0.23274999999999996</v>
      </c>
      <c r="Y21" s="17">
        <f>X21*U21</f>
        <v>1.8619999999999997</v>
      </c>
    </row>
    <row r="22" spans="1:25" x14ac:dyDescent="0.25">
      <c r="A22" s="18">
        <f t="shared" si="3"/>
        <v>7</v>
      </c>
      <c r="B22" s="23" t="s">
        <v>12</v>
      </c>
      <c r="C22" s="19">
        <v>80</v>
      </c>
      <c r="D22" s="18">
        <v>50</v>
      </c>
      <c r="E22" s="20">
        <f t="shared" si="0"/>
        <v>0.625</v>
      </c>
      <c r="F22" s="21">
        <f>(D22*$E$11)/C22</f>
        <v>0.4375</v>
      </c>
      <c r="G22" s="22">
        <f t="shared" si="2"/>
        <v>35</v>
      </c>
      <c r="I22" s="65"/>
      <c r="J22" s="55"/>
      <c r="K22" s="55"/>
      <c r="L22" s="55"/>
      <c r="M22" s="55"/>
      <c r="N22" s="55"/>
      <c r="O22" s="55"/>
      <c r="P22" s="55"/>
      <c r="Q22" s="55"/>
      <c r="R22" s="55"/>
      <c r="U22" s="18">
        <f>C22*0.7</f>
        <v>56</v>
      </c>
      <c r="V22" s="48">
        <v>0.2</v>
      </c>
      <c r="W22" s="49">
        <f>E22*(1-V22)</f>
        <v>0.5</v>
      </c>
      <c r="X22" s="26">
        <f>W22*$E$11</f>
        <v>0.35</v>
      </c>
      <c r="Y22" s="22">
        <f>X22*U22</f>
        <v>19.599999999999998</v>
      </c>
    </row>
    <row r="23" spans="1:25" x14ac:dyDescent="0.25">
      <c r="A23" s="11"/>
      <c r="B23" s="11"/>
      <c r="C23" s="11"/>
      <c r="D23" s="11"/>
      <c r="E23" s="11"/>
      <c r="F23" s="11"/>
      <c r="G23" s="27">
        <f>SUM(G16:G22)</f>
        <v>210</v>
      </c>
      <c r="W23" s="8"/>
      <c r="Y23" s="27">
        <f>SUM(Y16:Y22)</f>
        <v>379.51636703855007</v>
      </c>
    </row>
    <row r="24" spans="1:25" customFormat="1" x14ac:dyDescent="0.3">
      <c r="A24" s="91" t="s">
        <v>64</v>
      </c>
    </row>
    <row r="25" spans="1:25" s="86" customFormat="1" x14ac:dyDescent="0.25">
      <c r="A25" s="87" t="s">
        <v>53</v>
      </c>
      <c r="B25" s="84"/>
      <c r="C25" s="84"/>
      <c r="D25" s="84"/>
      <c r="E25" s="85"/>
    </row>
    <row r="26" spans="1:25" customFormat="1" ht="13.8" x14ac:dyDescent="0.25"/>
    <row r="27" spans="1:25" x14ac:dyDescent="0.25">
      <c r="A27" s="1" t="s">
        <v>20</v>
      </c>
      <c r="E27" s="4">
        <v>0.4</v>
      </c>
    </row>
    <row r="28" spans="1:25" x14ac:dyDescent="0.25">
      <c r="A28" s="1" t="s">
        <v>21</v>
      </c>
      <c r="E28" s="2">
        <f>E27*E5</f>
        <v>140</v>
      </c>
    </row>
    <row r="30" spans="1:25" ht="14.4" customHeight="1" x14ac:dyDescent="0.25">
      <c r="C30" s="36" t="s">
        <v>22</v>
      </c>
      <c r="D30" s="36"/>
      <c r="E30" s="36"/>
      <c r="F30"/>
      <c r="G30"/>
      <c r="I30" s="50" t="s">
        <v>38</v>
      </c>
      <c r="J30" s="50"/>
      <c r="K30" s="50"/>
      <c r="L30" s="50"/>
      <c r="M30" s="50"/>
      <c r="N30" s="50"/>
      <c r="O30" s="50"/>
      <c r="P30" s="50"/>
      <c r="Q30" s="50"/>
      <c r="R30" s="50"/>
      <c r="U30" s="37" t="s">
        <v>17</v>
      </c>
      <c r="V30" s="37"/>
      <c r="W30" s="37"/>
      <c r="X30" s="37"/>
    </row>
    <row r="31" spans="1:25" ht="43.2" customHeight="1" x14ac:dyDescent="0.25">
      <c r="A31" s="12"/>
      <c r="B31" s="15" t="s">
        <v>5</v>
      </c>
      <c r="C31" s="13" t="s">
        <v>13</v>
      </c>
      <c r="D31" s="13" t="s">
        <v>16</v>
      </c>
      <c r="E31" s="15" t="s">
        <v>15</v>
      </c>
      <c r="F31"/>
      <c r="G31"/>
      <c r="I31" s="12" t="s">
        <v>41</v>
      </c>
      <c r="J31" s="51" t="s">
        <v>37</v>
      </c>
      <c r="K31" s="51" t="s">
        <v>45</v>
      </c>
      <c r="L31" s="51" t="s">
        <v>46</v>
      </c>
      <c r="M31" s="51" t="s">
        <v>43</v>
      </c>
      <c r="N31" s="51" t="s">
        <v>44</v>
      </c>
      <c r="O31" s="51" t="s">
        <v>49</v>
      </c>
      <c r="P31" s="51" t="s">
        <v>42</v>
      </c>
      <c r="U31" s="14" t="s">
        <v>24</v>
      </c>
      <c r="V31" s="24" t="s">
        <v>47</v>
      </c>
      <c r="W31" s="41" t="s">
        <v>19</v>
      </c>
      <c r="X31" s="73" t="s">
        <v>15</v>
      </c>
    </row>
    <row r="32" spans="1:25" x14ac:dyDescent="0.25">
      <c r="A32" s="7">
        <v>1</v>
      </c>
      <c r="B32" s="9" t="s">
        <v>1</v>
      </c>
      <c r="C32" s="8">
        <v>60</v>
      </c>
      <c r="D32" s="16">
        <v>0.65</v>
      </c>
      <c r="E32" s="17">
        <f>D32*C32</f>
        <v>39</v>
      </c>
      <c r="F32"/>
      <c r="G32"/>
      <c r="I32" s="77"/>
      <c r="J32" s="78"/>
      <c r="K32" s="78"/>
      <c r="L32" s="78"/>
      <c r="M32" s="78"/>
      <c r="N32" s="78"/>
      <c r="O32" s="78"/>
      <c r="P32" s="78"/>
      <c r="U32" s="7">
        <f>C32*0.2</f>
        <v>12</v>
      </c>
      <c r="V32" s="69">
        <v>0.1</v>
      </c>
      <c r="W32" s="74">
        <f>D32*(1-V32)</f>
        <v>0.58500000000000008</v>
      </c>
      <c r="X32" s="71">
        <f>W32*U32+O32</f>
        <v>7.0200000000000014</v>
      </c>
    </row>
    <row r="33" spans="1:24" x14ac:dyDescent="0.25">
      <c r="A33" s="7">
        <f>A32+1</f>
        <v>2</v>
      </c>
      <c r="B33" s="9" t="s">
        <v>7</v>
      </c>
      <c r="C33" s="8">
        <v>120</v>
      </c>
      <c r="D33" s="16">
        <f>E33/C33</f>
        <v>0.41666666666666669</v>
      </c>
      <c r="E33" s="17">
        <v>50</v>
      </c>
      <c r="F33"/>
      <c r="G33"/>
      <c r="I33" s="64">
        <f>C33*1.75</f>
        <v>210</v>
      </c>
      <c r="J33" s="66">
        <v>2.5</v>
      </c>
      <c r="K33" s="60">
        <v>0.3</v>
      </c>
      <c r="L33" s="60">
        <v>0.06</v>
      </c>
      <c r="M33" s="57">
        <f>D33*(1-L33)</f>
        <v>0.39166666666666666</v>
      </c>
      <c r="N33" s="57">
        <f>M33*(1-K33)</f>
        <v>0.27416666666666667</v>
      </c>
      <c r="O33" s="56">
        <f>(I33*((1+$E$2)^($E$3-J33)))*(M33-N33)</f>
        <v>25.804969100030558</v>
      </c>
      <c r="P33" s="54">
        <f>C33*N33</f>
        <v>32.9</v>
      </c>
      <c r="U33" s="7">
        <f>C33*5</f>
        <v>600</v>
      </c>
      <c r="V33" s="59">
        <f>10%+L33</f>
        <v>0.16</v>
      </c>
      <c r="W33" s="75">
        <f>(D33*(1-V33))*(1-K33)</f>
        <v>0.24499999999999997</v>
      </c>
      <c r="X33" s="40">
        <f>W33*U33+O33</f>
        <v>172.80496910003052</v>
      </c>
    </row>
    <row r="34" spans="1:24" x14ac:dyDescent="0.25">
      <c r="A34" s="7">
        <f t="shared" ref="A34:A35" si="4">A33+1</f>
        <v>3</v>
      </c>
      <c r="B34" s="9" t="s">
        <v>8</v>
      </c>
      <c r="C34" s="8">
        <v>40</v>
      </c>
      <c r="D34" s="16">
        <v>0.65</v>
      </c>
      <c r="E34" s="17">
        <f>D34*C34</f>
        <v>26</v>
      </c>
      <c r="F34"/>
      <c r="G34"/>
      <c r="I34" s="64"/>
      <c r="J34" s="67"/>
      <c r="K34" s="53"/>
      <c r="L34" s="53"/>
      <c r="M34" s="53"/>
      <c r="N34" s="58"/>
      <c r="O34" s="53"/>
      <c r="P34" s="53"/>
      <c r="U34" s="7">
        <f>C34*3</f>
        <v>120</v>
      </c>
      <c r="V34" s="59">
        <v>0.1</v>
      </c>
      <c r="W34" s="75">
        <f>(D34*(1-V34))*(1-K34)</f>
        <v>0.58500000000000008</v>
      </c>
      <c r="X34" s="40">
        <f>W34*U34+O34</f>
        <v>70.2</v>
      </c>
    </row>
    <row r="35" spans="1:24" x14ac:dyDescent="0.25">
      <c r="A35" s="7">
        <f t="shared" si="4"/>
        <v>4</v>
      </c>
      <c r="B35" s="9" t="s">
        <v>9</v>
      </c>
      <c r="C35" s="8">
        <v>90</v>
      </c>
      <c r="D35" s="21">
        <f>E35/C35</f>
        <v>0.27777777777777779</v>
      </c>
      <c r="E35" s="22">
        <v>25</v>
      </c>
      <c r="F35"/>
      <c r="G35"/>
      <c r="I35" s="65">
        <f>C35*2.5</f>
        <v>225</v>
      </c>
      <c r="J35" s="79">
        <v>4.5</v>
      </c>
      <c r="K35" s="80">
        <v>0.4</v>
      </c>
      <c r="L35" s="80">
        <v>0.1</v>
      </c>
      <c r="M35" s="81">
        <f>D35*(1-L35)</f>
        <v>0.25</v>
      </c>
      <c r="N35" s="81">
        <f>M35*(1-K35)</f>
        <v>0.15</v>
      </c>
      <c r="O35" s="82">
        <f>(I35*((1+$E$2)^($E$3-J35)))*(M35-N35)</f>
        <v>23.066725772487196</v>
      </c>
      <c r="P35" s="83">
        <f>C35*N35</f>
        <v>13.5</v>
      </c>
      <c r="U35" s="18">
        <f>C35*3.5</f>
        <v>315</v>
      </c>
      <c r="V35" s="70">
        <f>L35+15%</f>
        <v>0.25</v>
      </c>
      <c r="W35" s="76">
        <f t="shared" ref="W35" si="5">D35*(1-V35)</f>
        <v>0.20833333333333334</v>
      </c>
      <c r="X35" s="72">
        <f>W35*U35+O35</f>
        <v>88.691725772487189</v>
      </c>
    </row>
    <row r="36" spans="1:24" x14ac:dyDescent="0.25">
      <c r="A36" s="11"/>
      <c r="B36" s="11"/>
      <c r="C36" s="11"/>
      <c r="D36"/>
      <c r="E36" s="27">
        <f>SUM(E32:E35)</f>
        <v>140</v>
      </c>
      <c r="F36"/>
      <c r="G36"/>
      <c r="I36" s="52"/>
      <c r="J36" s="8"/>
      <c r="K36" s="8"/>
      <c r="L36" s="8"/>
      <c r="M36" s="8"/>
      <c r="N36" s="8"/>
      <c r="O36" s="8"/>
      <c r="P36" s="8"/>
      <c r="Q36" s="8"/>
      <c r="U36"/>
      <c r="W36" s="8"/>
      <c r="X36" s="28">
        <f>SUM(X32:X35)</f>
        <v>338.71669487251773</v>
      </c>
    </row>
    <row r="37" spans="1:24" customFormat="1" ht="13.8" x14ac:dyDescent="0.25"/>
    <row r="38" spans="1:24" s="86" customFormat="1" x14ac:dyDescent="0.25">
      <c r="A38" s="87" t="s">
        <v>54</v>
      </c>
      <c r="B38" s="84"/>
      <c r="C38" s="84"/>
      <c r="D38" s="84"/>
      <c r="E38" s="85"/>
    </row>
    <row r="39" spans="1:24" x14ac:dyDescent="0.25">
      <c r="I39" s="52"/>
      <c r="J39" s="8"/>
      <c r="K39" s="8"/>
      <c r="L39" s="8"/>
      <c r="M39" s="8"/>
      <c r="N39" s="8"/>
      <c r="O39" s="8"/>
      <c r="P39" s="8"/>
      <c r="Q39" s="8"/>
    </row>
    <row r="40" spans="1:24" x14ac:dyDescent="0.25">
      <c r="B40" s="36" t="s">
        <v>35</v>
      </c>
      <c r="C40" s="36"/>
      <c r="D40" s="36"/>
      <c r="E40" s="36"/>
      <c r="I40" s="52"/>
      <c r="J40" s="8"/>
      <c r="K40" s="8"/>
      <c r="L40" s="8"/>
      <c r="M40" s="8"/>
      <c r="N40" s="8"/>
      <c r="O40" s="8"/>
      <c r="P40" s="8"/>
      <c r="Q40" s="8"/>
    </row>
    <row r="41" spans="1:24" x14ac:dyDescent="0.25">
      <c r="B41" s="1" t="s">
        <v>25</v>
      </c>
      <c r="E41" s="35">
        <f>E5</f>
        <v>350</v>
      </c>
      <c r="I41"/>
    </row>
    <row r="42" spans="1:24" x14ac:dyDescent="0.25">
      <c r="B42" s="1" t="s">
        <v>26</v>
      </c>
      <c r="E42" s="29">
        <f>Y23+X36</f>
        <v>718.23306191106781</v>
      </c>
    </row>
    <row r="43" spans="1:24" x14ac:dyDescent="0.25">
      <c r="B43" s="11" t="s">
        <v>27</v>
      </c>
      <c r="C43" s="11"/>
      <c r="D43" s="11"/>
      <c r="E43" s="30">
        <f>E42-E41</f>
        <v>368.23306191106781</v>
      </c>
    </row>
    <row r="44" spans="1:24" x14ac:dyDescent="0.25">
      <c r="B44" s="1" t="s">
        <v>28</v>
      </c>
      <c r="E44" s="31">
        <f>E43/E41</f>
        <v>1.0520944626030508</v>
      </c>
    </row>
    <row r="46" spans="1:24" x14ac:dyDescent="0.25">
      <c r="B46" s="36" t="s">
        <v>29</v>
      </c>
      <c r="C46" s="36"/>
      <c r="D46" s="36"/>
      <c r="E46" s="36"/>
    </row>
    <row r="47" spans="1:24" x14ac:dyDescent="0.25">
      <c r="B47" s="1" t="s">
        <v>30</v>
      </c>
      <c r="E47" s="34">
        <v>0.185</v>
      </c>
    </row>
    <row r="48" spans="1:24" x14ac:dyDescent="0.25">
      <c r="B48" s="1" t="s">
        <v>34</v>
      </c>
      <c r="E48" s="5">
        <f>E41*(1+E47)</f>
        <v>414.75</v>
      </c>
    </row>
    <row r="50" spans="2:5" x14ac:dyDescent="0.25">
      <c r="B50" s="1" t="s">
        <v>33</v>
      </c>
      <c r="E50" s="5">
        <f>E42-E48</f>
        <v>303.48306191106781</v>
      </c>
    </row>
    <row r="51" spans="2:5" x14ac:dyDescent="0.25">
      <c r="B51" s="19" t="s">
        <v>31</v>
      </c>
      <c r="C51" s="19"/>
      <c r="D51" s="19"/>
      <c r="E51" s="32">
        <v>0.1</v>
      </c>
    </row>
    <row r="52" spans="2:5" x14ac:dyDescent="0.25">
      <c r="B52" s="1" t="s">
        <v>32</v>
      </c>
      <c r="E52" s="33">
        <f>E50*E51</f>
        <v>30.348306191106783</v>
      </c>
    </row>
    <row r="53" spans="2:5" x14ac:dyDescent="0.25">
      <c r="B53" s="1" t="s">
        <v>73</v>
      </c>
      <c r="E53" s="39">
        <f>E52/E43</f>
        <v>8.241602759297105E-2</v>
      </c>
    </row>
  </sheetData>
  <mergeCells count="8">
    <mergeCell ref="B46:E46"/>
    <mergeCell ref="B40:E40"/>
    <mergeCell ref="C14:G14"/>
    <mergeCell ref="C30:E30"/>
    <mergeCell ref="I14:R14"/>
    <mergeCell ref="I30:R30"/>
    <mergeCell ref="U30:X30"/>
    <mergeCell ref="U14:Y14"/>
  </mergeCells>
  <pageMargins left="0.7" right="0.7" top="0.75" bottom="0.75" header="0.3" footer="0.3"/>
  <pageSetup paperSize="9" orientation="portrait" r:id="rId1"/>
  <ignoredErrors>
    <ignoredError sqref="W17:W18 Y18 Y17 W19:Y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Z58"/>
  <sheetViews>
    <sheetView showGridLines="0" rightToLeft="1" workbookViewId="0"/>
  </sheetViews>
  <sheetFormatPr defaultRowHeight="13.8" x14ac:dyDescent="0.25"/>
  <cols>
    <col min="1" max="1" width="2.5" style="1" customWidth="1"/>
    <col min="2" max="3" width="15.296875" style="1" customWidth="1"/>
    <col min="4" max="4" width="18.3984375" style="1" customWidth="1"/>
    <col min="5" max="6" width="14.796875" style="1" customWidth="1"/>
    <col min="7" max="7" width="17.296875" style="1" customWidth="1"/>
    <col min="8" max="8" width="10.796875" style="1" customWidth="1"/>
    <col min="9" max="9" width="15.8984375" style="1" customWidth="1"/>
    <col min="10" max="12" width="11.5" style="1" customWidth="1"/>
    <col min="13" max="14" width="17.59765625" style="1" customWidth="1"/>
    <col min="15" max="16" width="17" style="1" customWidth="1"/>
    <col min="17" max="17" width="19.296875" style="1" customWidth="1"/>
    <col min="18" max="18" width="14.69921875" style="1" customWidth="1"/>
    <col min="19" max="16384" width="8.796875" style="1"/>
  </cols>
  <sheetData>
    <row r="1" spans="1:26" customFormat="1" x14ac:dyDescent="0.25"/>
    <row r="2" spans="1:26" customFormat="1" ht="14.4" x14ac:dyDescent="0.25">
      <c r="A2" s="1" t="s">
        <v>48</v>
      </c>
      <c r="E2" s="60">
        <v>0.01</v>
      </c>
    </row>
    <row r="3" spans="1:26" customFormat="1" ht="14.4" x14ac:dyDescent="0.25">
      <c r="A3" s="1" t="s">
        <v>50</v>
      </c>
      <c r="E3" s="61">
        <v>7</v>
      </c>
    </row>
    <row r="4" spans="1:26" customFormat="1" x14ac:dyDescent="0.25"/>
    <row r="5" spans="1:26" customFormat="1" ht="14.4" x14ac:dyDescent="0.25">
      <c r="A5" s="1" t="s">
        <v>2</v>
      </c>
      <c r="B5" s="1"/>
      <c r="C5" s="1"/>
      <c r="D5" s="1"/>
      <c r="E5" s="2">
        <v>350</v>
      </c>
    </row>
    <row r="6" spans="1:26" customFormat="1" ht="14.4" x14ac:dyDescent="0.25">
      <c r="A6" s="1"/>
      <c r="B6" s="1"/>
      <c r="C6" s="1"/>
      <c r="D6" s="1"/>
      <c r="E6" s="3"/>
    </row>
    <row r="7" spans="1:26" s="86" customFormat="1" ht="14.4" x14ac:dyDescent="0.25">
      <c r="A7" s="87" t="s">
        <v>52</v>
      </c>
      <c r="B7" s="84"/>
      <c r="C7" s="84"/>
      <c r="D7" s="84"/>
      <c r="E7" s="85"/>
    </row>
    <row r="8" spans="1:26" customFormat="1" ht="14.4" x14ac:dyDescent="0.25">
      <c r="A8" s="1"/>
      <c r="B8" s="1"/>
      <c r="C8" s="1"/>
      <c r="D8" s="1"/>
      <c r="E8" s="3"/>
    </row>
    <row r="9" spans="1:26" customFormat="1" ht="14.4" x14ac:dyDescent="0.25">
      <c r="A9" s="1" t="s">
        <v>3</v>
      </c>
      <c r="B9" s="1"/>
      <c r="C9" s="1"/>
      <c r="D9" s="1"/>
      <c r="E9" s="4">
        <v>0.6</v>
      </c>
    </row>
    <row r="10" spans="1:26" customFormat="1" ht="14.4" x14ac:dyDescent="0.25">
      <c r="A10" s="1" t="s">
        <v>4</v>
      </c>
      <c r="B10" s="1"/>
      <c r="C10" s="1"/>
      <c r="D10" s="1"/>
      <c r="E10" s="2">
        <f>E9*E5</f>
        <v>210</v>
      </c>
    </row>
    <row r="11" spans="1:26" customFormat="1" ht="14.4" x14ac:dyDescent="0.25">
      <c r="A11" s="1" t="s">
        <v>0</v>
      </c>
      <c r="B11" s="1"/>
      <c r="C11" s="1"/>
      <c r="D11" s="1"/>
      <c r="E11" s="4">
        <v>0.5</v>
      </c>
    </row>
    <row r="12" spans="1:26" customFormat="1" x14ac:dyDescent="0.25"/>
    <row r="13" spans="1:26" customFormat="1" x14ac:dyDescent="0.25"/>
    <row r="14" spans="1:26" ht="13.8" customHeight="1" x14ac:dyDescent="0.25">
      <c r="C14" s="36" t="s">
        <v>22</v>
      </c>
      <c r="D14" s="36"/>
      <c r="E14" s="36"/>
      <c r="F14" s="36"/>
      <c r="G14" s="36"/>
      <c r="I14" s="50" t="s">
        <v>38</v>
      </c>
      <c r="J14" s="50"/>
      <c r="K14" s="50"/>
      <c r="L14" s="50"/>
      <c r="M14" s="50"/>
      <c r="N14" s="50"/>
      <c r="O14" s="50"/>
      <c r="P14" s="50"/>
      <c r="Q14" s="50"/>
      <c r="R14" s="50"/>
      <c r="U14" s="37" t="s">
        <v>17</v>
      </c>
      <c r="V14" s="37"/>
      <c r="W14" s="37"/>
      <c r="X14" s="37"/>
      <c r="Y14" s="37"/>
      <c r="Z14" s="24"/>
    </row>
    <row r="15" spans="1:26" s="6" customFormat="1" ht="46.2" customHeight="1" x14ac:dyDescent="0.25">
      <c r="A15" s="12"/>
      <c r="B15" s="15" t="s">
        <v>5</v>
      </c>
      <c r="C15" s="13" t="s">
        <v>23</v>
      </c>
      <c r="D15" s="14" t="s">
        <v>14</v>
      </c>
      <c r="E15" s="15" t="s">
        <v>6</v>
      </c>
      <c r="F15" s="13" t="s">
        <v>16</v>
      </c>
      <c r="G15" s="15" t="s">
        <v>15</v>
      </c>
      <c r="I15" s="12" t="s">
        <v>41</v>
      </c>
      <c r="J15" s="51" t="s">
        <v>37</v>
      </c>
      <c r="K15" s="51" t="s">
        <v>45</v>
      </c>
      <c r="L15" s="51" t="s">
        <v>46</v>
      </c>
      <c r="M15" s="51" t="s">
        <v>39</v>
      </c>
      <c r="N15" s="51" t="s">
        <v>40</v>
      </c>
      <c r="O15" s="51" t="s">
        <v>43</v>
      </c>
      <c r="P15" s="51" t="s">
        <v>44</v>
      </c>
      <c r="Q15" s="51" t="s">
        <v>49</v>
      </c>
      <c r="R15" s="51" t="s">
        <v>51</v>
      </c>
      <c r="U15" s="41" t="s">
        <v>24</v>
      </c>
      <c r="V15" s="24" t="s">
        <v>47</v>
      </c>
      <c r="W15" s="42" t="s">
        <v>18</v>
      </c>
      <c r="X15" s="14" t="s">
        <v>36</v>
      </c>
      <c r="Y15" s="15" t="s">
        <v>15</v>
      </c>
    </row>
    <row r="16" spans="1:26" ht="14.4" x14ac:dyDescent="0.25">
      <c r="A16" s="7">
        <v>1</v>
      </c>
      <c r="B16" s="9" t="s">
        <v>1</v>
      </c>
      <c r="C16" s="8">
        <v>90</v>
      </c>
      <c r="D16" s="7">
        <v>21</v>
      </c>
      <c r="E16" s="10">
        <f>D16/C16</f>
        <v>0.23333333333333334</v>
      </c>
      <c r="F16" s="16">
        <f>(D16*$E$11)/C16</f>
        <v>0.11666666666666667</v>
      </c>
      <c r="G16" s="17">
        <f>F16*C16</f>
        <v>10.5</v>
      </c>
      <c r="I16" s="64"/>
      <c r="J16" s="53"/>
      <c r="K16" s="53"/>
      <c r="L16" s="53"/>
      <c r="M16" s="53"/>
      <c r="N16" s="53"/>
      <c r="O16" s="53"/>
      <c r="P16" s="53"/>
      <c r="Q16" s="53"/>
      <c r="R16" s="53"/>
      <c r="U16" s="88">
        <f>C16*0.65</f>
        <v>58.5</v>
      </c>
      <c r="V16" s="44">
        <v>0.1</v>
      </c>
      <c r="W16" s="45">
        <f>E16*(1-V16)</f>
        <v>0.21000000000000002</v>
      </c>
      <c r="X16" s="25">
        <f>W16*$E$11</f>
        <v>0.10500000000000001</v>
      </c>
      <c r="Y16" s="17">
        <f>X16*U16</f>
        <v>6.142500000000001</v>
      </c>
    </row>
    <row r="17" spans="1:25" ht="14.4" x14ac:dyDescent="0.25">
      <c r="A17" s="7">
        <f>A16+1</f>
        <v>2</v>
      </c>
      <c r="B17" s="9" t="s">
        <v>7</v>
      </c>
      <c r="C17" s="8">
        <v>95</v>
      </c>
      <c r="D17" s="7">
        <v>80</v>
      </c>
      <c r="E17" s="10">
        <f t="shared" ref="E17:E22" si="0">D17/C17</f>
        <v>0.84210526315789469</v>
      </c>
      <c r="F17" s="16">
        <f>(D17*$E$11)/C17</f>
        <v>0.42105263157894735</v>
      </c>
      <c r="G17" s="17">
        <f>F17*C17</f>
        <v>40</v>
      </c>
      <c r="I17" s="64">
        <f>C17*1.1</f>
        <v>104.50000000000001</v>
      </c>
      <c r="J17" s="66">
        <v>6</v>
      </c>
      <c r="K17" s="60">
        <v>0.7</v>
      </c>
      <c r="L17" s="60">
        <v>0.06</v>
      </c>
      <c r="M17" s="57">
        <f>E17*(1-L17)</f>
        <v>0.79157894736842094</v>
      </c>
      <c r="N17" s="57">
        <f>M17*(1-K17)</f>
        <v>0.23747368421052631</v>
      </c>
      <c r="O17" s="57">
        <f>M17*$E$11</f>
        <v>0.39578947368421047</v>
      </c>
      <c r="P17" s="57">
        <f>O17*K17</f>
        <v>0.27705263157894733</v>
      </c>
      <c r="Q17" s="56">
        <f>(I17*((1+$E$2)^($E$3-J17)))*(O17-P17)</f>
        <v>12.532080000000001</v>
      </c>
      <c r="R17" s="54">
        <f>C17*P17</f>
        <v>26.319999999999997</v>
      </c>
      <c r="S17" s="38"/>
      <c r="U17" s="62">
        <f>C17*1.5</f>
        <v>142.5</v>
      </c>
      <c r="V17" s="46">
        <v>0.1</v>
      </c>
      <c r="W17" s="47">
        <f>E17*(1-V17-L17)*K17</f>
        <v>0.49515789473684213</v>
      </c>
      <c r="X17" s="25">
        <f>W17*$E$11</f>
        <v>0.24757894736842107</v>
      </c>
      <c r="Y17" s="17">
        <f>X17*U17+Q17</f>
        <v>47.812080000000002</v>
      </c>
    </row>
    <row r="18" spans="1:25" ht="14.4" x14ac:dyDescent="0.25">
      <c r="A18" s="7">
        <f t="shared" ref="A18:A22" si="1">A17+1</f>
        <v>3</v>
      </c>
      <c r="B18" s="9" t="s">
        <v>8</v>
      </c>
      <c r="C18" s="8">
        <v>120</v>
      </c>
      <c r="D18" s="7">
        <v>75</v>
      </c>
      <c r="E18" s="10">
        <f t="shared" si="0"/>
        <v>0.625</v>
      </c>
      <c r="F18" s="16">
        <f>(D18*$E$11)/C18</f>
        <v>0.3125</v>
      </c>
      <c r="G18" s="17">
        <f t="shared" ref="G18:G22" si="2">F18*C18</f>
        <v>37.5</v>
      </c>
      <c r="I18" s="64"/>
      <c r="J18" s="68"/>
      <c r="K18" s="53"/>
      <c r="L18" s="53"/>
      <c r="M18" s="53"/>
      <c r="N18" s="58"/>
      <c r="O18" s="58"/>
      <c r="P18" s="53"/>
      <c r="Q18" s="53"/>
      <c r="R18" s="53"/>
      <c r="U18" s="62">
        <f>C18*1.4</f>
        <v>168</v>
      </c>
      <c r="V18" s="46">
        <v>0.5</v>
      </c>
      <c r="W18" s="47">
        <f>E18*(1-V18)</f>
        <v>0.3125</v>
      </c>
      <c r="X18" s="25">
        <f>W18*$E$11</f>
        <v>0.15625</v>
      </c>
      <c r="Y18" s="17">
        <f>X18*U18</f>
        <v>26.25</v>
      </c>
    </row>
    <row r="19" spans="1:25" ht="14.4" x14ac:dyDescent="0.25">
      <c r="A19" s="7">
        <f t="shared" si="1"/>
        <v>4</v>
      </c>
      <c r="B19" s="9" t="s">
        <v>9</v>
      </c>
      <c r="C19" s="8">
        <v>90</v>
      </c>
      <c r="D19" s="7">
        <v>60</v>
      </c>
      <c r="E19" s="10">
        <f t="shared" si="0"/>
        <v>0.66666666666666663</v>
      </c>
      <c r="F19" s="16">
        <f>(D19*$E$11)/C19</f>
        <v>0.33333333333333331</v>
      </c>
      <c r="G19" s="17">
        <f t="shared" si="2"/>
        <v>30</v>
      </c>
      <c r="I19" s="64">
        <f>C19*1.05</f>
        <v>94.5</v>
      </c>
      <c r="J19" s="66">
        <v>4</v>
      </c>
      <c r="K19" s="60">
        <v>0.2</v>
      </c>
      <c r="L19" s="60">
        <v>0.1</v>
      </c>
      <c r="M19" s="57">
        <f>E19*(1-L19)</f>
        <v>0.6</v>
      </c>
      <c r="N19" s="57">
        <f>M19*(1-K19)</f>
        <v>0.48</v>
      </c>
      <c r="O19" s="57">
        <f>M19*$E$11</f>
        <v>0.3</v>
      </c>
      <c r="P19" s="57">
        <f>O19*K19</f>
        <v>0.06</v>
      </c>
      <c r="Q19" s="56">
        <f>(I19*((1+$E$2)^($E$3-J19)))*(O19-P19)</f>
        <v>23.367226679999995</v>
      </c>
      <c r="R19" s="54">
        <f>C19*P19</f>
        <v>5.3999999999999995</v>
      </c>
      <c r="U19" s="62">
        <f>C19*0.2</f>
        <v>18</v>
      </c>
      <c r="V19" s="46">
        <v>0.35</v>
      </c>
      <c r="W19" s="47">
        <f>E19*(1-V19-L19)*K19</f>
        <v>7.3333333333333348E-2</v>
      </c>
      <c r="X19" s="25">
        <f>W19*$E$11</f>
        <v>3.6666666666666674E-2</v>
      </c>
      <c r="Y19" s="17">
        <f>X19*U19+Q19</f>
        <v>24.027226679999995</v>
      </c>
    </row>
    <row r="20" spans="1:25" ht="14.4" x14ac:dyDescent="0.25">
      <c r="A20" s="7">
        <f t="shared" si="1"/>
        <v>5</v>
      </c>
      <c r="B20" s="9" t="s">
        <v>10</v>
      </c>
      <c r="C20" s="8">
        <v>120</v>
      </c>
      <c r="D20" s="7">
        <v>55</v>
      </c>
      <c r="E20" s="10">
        <f t="shared" si="0"/>
        <v>0.45833333333333331</v>
      </c>
      <c r="F20" s="16">
        <f>(D20*$E$11)/C20</f>
        <v>0.22916666666666666</v>
      </c>
      <c r="G20" s="17">
        <f t="shared" si="2"/>
        <v>27.5</v>
      </c>
      <c r="I20" s="64"/>
      <c r="J20" s="53"/>
      <c r="K20" s="53"/>
      <c r="L20" s="53"/>
      <c r="M20" s="53"/>
      <c r="N20" s="53"/>
      <c r="O20" s="53"/>
      <c r="P20" s="53"/>
      <c r="Q20" s="53"/>
      <c r="R20" s="53"/>
      <c r="U20" s="62">
        <f>C20*0.4</f>
        <v>48</v>
      </c>
      <c r="V20" s="46">
        <v>0.35</v>
      </c>
      <c r="W20" s="47">
        <f>E20*(1-V20)</f>
        <v>0.29791666666666666</v>
      </c>
      <c r="X20" s="25">
        <f>W20*$E$11</f>
        <v>0.14895833333333333</v>
      </c>
      <c r="Y20" s="17">
        <f>X20*U20</f>
        <v>7.15</v>
      </c>
    </row>
    <row r="21" spans="1:25" ht="14.4" x14ac:dyDescent="0.25">
      <c r="A21" s="7">
        <f t="shared" si="1"/>
        <v>6</v>
      </c>
      <c r="B21" s="9" t="s">
        <v>11</v>
      </c>
      <c r="C21" s="8">
        <v>90</v>
      </c>
      <c r="D21" s="7">
        <v>60</v>
      </c>
      <c r="E21" s="10">
        <f t="shared" si="0"/>
        <v>0.66666666666666663</v>
      </c>
      <c r="F21" s="16">
        <f>(D21*$E$11)/C21</f>
        <v>0.33333333333333331</v>
      </c>
      <c r="G21" s="17">
        <f t="shared" si="2"/>
        <v>30</v>
      </c>
      <c r="I21" s="64"/>
      <c r="J21" s="53"/>
      <c r="K21" s="53"/>
      <c r="L21" s="53"/>
      <c r="M21" s="53"/>
      <c r="N21" s="53"/>
      <c r="O21" s="53"/>
      <c r="P21" s="53"/>
      <c r="Q21" s="53"/>
      <c r="R21" s="53"/>
      <c r="U21" s="62">
        <f>C21*0.25</f>
        <v>22.5</v>
      </c>
      <c r="V21" s="46">
        <v>0.05</v>
      </c>
      <c r="W21" s="47">
        <f>E21*(1-V21)</f>
        <v>0.6333333333333333</v>
      </c>
      <c r="X21" s="25">
        <f>W21*$E$11</f>
        <v>0.31666666666666665</v>
      </c>
      <c r="Y21" s="17">
        <f>X21*U21</f>
        <v>7.125</v>
      </c>
    </row>
    <row r="22" spans="1:25" ht="14.4" x14ac:dyDescent="0.25">
      <c r="A22" s="18">
        <f t="shared" si="1"/>
        <v>7</v>
      </c>
      <c r="B22" s="23" t="s">
        <v>12</v>
      </c>
      <c r="C22" s="19">
        <v>80</v>
      </c>
      <c r="D22" s="18">
        <v>68</v>
      </c>
      <c r="E22" s="20">
        <f t="shared" si="0"/>
        <v>0.85</v>
      </c>
      <c r="F22" s="21">
        <f>(D22*$E$11)/C22</f>
        <v>0.42499999999999999</v>
      </c>
      <c r="G22" s="22">
        <f t="shared" si="2"/>
        <v>34</v>
      </c>
      <c r="I22" s="65"/>
      <c r="J22" s="55"/>
      <c r="K22" s="55"/>
      <c r="L22" s="55"/>
      <c r="M22" s="55"/>
      <c r="N22" s="55"/>
      <c r="O22" s="55"/>
      <c r="P22" s="55"/>
      <c r="Q22" s="55"/>
      <c r="R22" s="55"/>
      <c r="U22" s="63">
        <f>C22*0</f>
        <v>0</v>
      </c>
      <c r="V22" s="48">
        <v>0.2</v>
      </c>
      <c r="W22" s="49">
        <f>E22*(1-V22)</f>
        <v>0.68</v>
      </c>
      <c r="X22" s="26">
        <f>W22*$E$11</f>
        <v>0.34</v>
      </c>
      <c r="Y22" s="22">
        <f>X22*U22</f>
        <v>0</v>
      </c>
    </row>
    <row r="23" spans="1:25" ht="14.4" x14ac:dyDescent="0.25">
      <c r="A23" s="11"/>
      <c r="B23" s="11"/>
      <c r="C23" s="11"/>
      <c r="D23" s="11"/>
      <c r="E23" s="11"/>
      <c r="F23" s="11"/>
      <c r="G23" s="27">
        <f>SUM(G16:G22)</f>
        <v>209.5</v>
      </c>
      <c r="W23" s="8"/>
      <c r="Y23" s="27">
        <f>SUM(Y16:Y22)</f>
        <v>118.50680668</v>
      </c>
    </row>
    <row r="24" spans="1:25" customFormat="1" ht="14.4" x14ac:dyDescent="0.3">
      <c r="A24" s="91" t="s">
        <v>64</v>
      </c>
    </row>
    <row r="25" spans="1:25" s="86" customFormat="1" ht="14.4" x14ac:dyDescent="0.25">
      <c r="A25" s="87" t="s">
        <v>53</v>
      </c>
      <c r="B25" s="84"/>
      <c r="C25" s="84"/>
      <c r="D25" s="84"/>
      <c r="E25" s="85"/>
    </row>
    <row r="26" spans="1:25" customFormat="1" x14ac:dyDescent="0.25"/>
    <row r="27" spans="1:25" ht="14.4" x14ac:dyDescent="0.25">
      <c r="A27" s="1" t="s">
        <v>20</v>
      </c>
      <c r="E27" s="4">
        <v>0.4</v>
      </c>
    </row>
    <row r="28" spans="1:25" ht="14.4" x14ac:dyDescent="0.25">
      <c r="A28" s="1" t="s">
        <v>21</v>
      </c>
      <c r="E28" s="2">
        <f>E27*E5</f>
        <v>140</v>
      </c>
    </row>
    <row r="30" spans="1:25" ht="14.4" customHeight="1" x14ac:dyDescent="0.25">
      <c r="C30" s="36" t="s">
        <v>22</v>
      </c>
      <c r="D30" s="36"/>
      <c r="E30" s="36"/>
      <c r="F30"/>
      <c r="G30"/>
      <c r="I30" s="50" t="s">
        <v>38</v>
      </c>
      <c r="J30" s="50"/>
      <c r="K30" s="50"/>
      <c r="L30" s="50"/>
      <c r="M30" s="50"/>
      <c r="N30" s="50"/>
      <c r="O30" s="50"/>
      <c r="P30" s="50"/>
      <c r="Q30" s="50"/>
      <c r="R30" s="50"/>
      <c r="U30" s="37" t="s">
        <v>17</v>
      </c>
      <c r="V30" s="37"/>
      <c r="W30" s="37"/>
      <c r="X30" s="37"/>
    </row>
    <row r="31" spans="1:25" ht="43.2" customHeight="1" x14ac:dyDescent="0.25">
      <c r="A31" s="12"/>
      <c r="B31" s="15" t="s">
        <v>5</v>
      </c>
      <c r="C31" s="13" t="s">
        <v>13</v>
      </c>
      <c r="D31" s="13" t="s">
        <v>16</v>
      </c>
      <c r="E31" s="15" t="s">
        <v>15</v>
      </c>
      <c r="F31"/>
      <c r="G31"/>
      <c r="I31" s="12" t="s">
        <v>41</v>
      </c>
      <c r="J31" s="51" t="s">
        <v>37</v>
      </c>
      <c r="K31" s="51" t="s">
        <v>45</v>
      </c>
      <c r="L31" s="51" t="s">
        <v>46</v>
      </c>
      <c r="M31" s="51" t="s">
        <v>43</v>
      </c>
      <c r="N31" s="51" t="s">
        <v>44</v>
      </c>
      <c r="O31" s="51" t="s">
        <v>49</v>
      </c>
      <c r="P31" s="51" t="s">
        <v>42</v>
      </c>
      <c r="U31" s="14" t="s">
        <v>24</v>
      </c>
      <c r="V31" s="24" t="s">
        <v>47</v>
      </c>
      <c r="W31" s="41" t="s">
        <v>19</v>
      </c>
      <c r="X31" s="73" t="s">
        <v>15</v>
      </c>
    </row>
    <row r="32" spans="1:25" ht="14.4" x14ac:dyDescent="0.25">
      <c r="A32" s="7">
        <v>1</v>
      </c>
      <c r="B32" s="9" t="s">
        <v>1</v>
      </c>
      <c r="C32" s="8">
        <v>50</v>
      </c>
      <c r="D32" s="16">
        <v>0.65</v>
      </c>
      <c r="E32" s="17">
        <f>D32*C32</f>
        <v>32.5</v>
      </c>
      <c r="F32"/>
      <c r="G32"/>
      <c r="I32" s="77"/>
      <c r="J32" s="78"/>
      <c r="K32" s="78"/>
      <c r="L32" s="78"/>
      <c r="M32" s="78"/>
      <c r="N32" s="78"/>
      <c r="O32" s="78"/>
      <c r="P32" s="78"/>
      <c r="U32" s="7">
        <f>C32*0.2</f>
        <v>10</v>
      </c>
      <c r="V32" s="69">
        <v>0.1</v>
      </c>
      <c r="W32" s="74">
        <f>D32*(1-V32)</f>
        <v>0.58500000000000008</v>
      </c>
      <c r="X32" s="71">
        <f>W32*U32+O32</f>
        <v>5.8500000000000005</v>
      </c>
    </row>
    <row r="33" spans="1:24" ht="14.4" x14ac:dyDescent="0.25">
      <c r="A33" s="7">
        <f>A32+1</f>
        <v>2</v>
      </c>
      <c r="B33" s="9" t="s">
        <v>7</v>
      </c>
      <c r="C33" s="8">
        <v>65</v>
      </c>
      <c r="D33" s="16">
        <f>E33/C33</f>
        <v>0.53846153846153844</v>
      </c>
      <c r="E33" s="17">
        <v>35</v>
      </c>
      <c r="F33"/>
      <c r="G33"/>
      <c r="I33" s="64">
        <f>C33*1.09</f>
        <v>70.850000000000009</v>
      </c>
      <c r="J33" s="66">
        <v>5</v>
      </c>
      <c r="K33" s="60">
        <v>0.2</v>
      </c>
      <c r="L33" s="60">
        <v>0.11</v>
      </c>
      <c r="M33" s="57">
        <f>D33*(1-L33)</f>
        <v>0.47923076923076924</v>
      </c>
      <c r="N33" s="57">
        <f>M33*(1-K33)</f>
        <v>0.38338461538461543</v>
      </c>
      <c r="O33" s="56">
        <f>(I33*((1+$E$2)^($E$3-J33)))*(M33-N33)</f>
        <v>6.9271930699999986</v>
      </c>
      <c r="P33" s="54">
        <f>C33*N33</f>
        <v>24.92</v>
      </c>
      <c r="U33" s="7">
        <f>C33*0.8</f>
        <v>52</v>
      </c>
      <c r="V33" s="59">
        <f>10%+L33</f>
        <v>0.21000000000000002</v>
      </c>
      <c r="W33" s="75">
        <f>(D33*(1-V33))*(1-K33)</f>
        <v>0.34030769230769231</v>
      </c>
      <c r="X33" s="40">
        <f>W33*U33+O33</f>
        <v>24.623193069999999</v>
      </c>
    </row>
    <row r="34" spans="1:24" ht="14.4" x14ac:dyDescent="0.25">
      <c r="A34" s="7">
        <f t="shared" ref="A34:A35" si="3">A33+1</f>
        <v>3</v>
      </c>
      <c r="B34" s="9" t="s">
        <v>8</v>
      </c>
      <c r="C34" s="8">
        <v>35</v>
      </c>
      <c r="D34" s="16">
        <v>0.65</v>
      </c>
      <c r="E34" s="17">
        <f>D34*C34</f>
        <v>22.75</v>
      </c>
      <c r="F34"/>
      <c r="G34"/>
      <c r="I34" s="64"/>
      <c r="J34" s="67"/>
      <c r="K34" s="53"/>
      <c r="L34" s="53"/>
      <c r="M34" s="53"/>
      <c r="N34" s="58"/>
      <c r="O34" s="53"/>
      <c r="P34" s="53"/>
      <c r="U34" s="7">
        <f>C34*0</f>
        <v>0</v>
      </c>
      <c r="V34" s="59">
        <v>0.1</v>
      </c>
      <c r="W34" s="75">
        <f>(D34*(1-V34))*(1-K34)</f>
        <v>0.58500000000000008</v>
      </c>
      <c r="X34" s="40">
        <f>W34*U34+O34</f>
        <v>0</v>
      </c>
    </row>
    <row r="35" spans="1:24" ht="14.4" x14ac:dyDescent="0.25">
      <c r="A35" s="7">
        <f t="shared" si="3"/>
        <v>4</v>
      </c>
      <c r="B35" s="9" t="s">
        <v>9</v>
      </c>
      <c r="C35" s="8">
        <v>115</v>
      </c>
      <c r="D35" s="21">
        <f>E35/C35</f>
        <v>0.43478260869565216</v>
      </c>
      <c r="E35" s="22">
        <v>50</v>
      </c>
      <c r="F35"/>
      <c r="G35"/>
      <c r="I35" s="65">
        <f>C35*1.5</f>
        <v>172.5</v>
      </c>
      <c r="J35" s="79">
        <v>1.5</v>
      </c>
      <c r="K35" s="80">
        <v>0.15</v>
      </c>
      <c r="L35" s="80">
        <v>0.15</v>
      </c>
      <c r="M35" s="81">
        <f>D35*(1-L35)</f>
        <v>0.36956521739130432</v>
      </c>
      <c r="N35" s="81">
        <f>M35*(1-K35)</f>
        <v>0.31413043478260866</v>
      </c>
      <c r="O35" s="82">
        <f>(I35*((1+$E$2)^($E$3-J35)))*(M35-N35)</f>
        <v>10.100410017800717</v>
      </c>
      <c r="P35" s="83">
        <f>C35*N35</f>
        <v>36.124999999999993</v>
      </c>
      <c r="U35" s="18">
        <f>C35*1</f>
        <v>115</v>
      </c>
      <c r="V35" s="70">
        <f>L35+15%</f>
        <v>0.3</v>
      </c>
      <c r="W35" s="76">
        <f t="shared" ref="W35" si="4">D35*(1-V35)</f>
        <v>0.30434782608695649</v>
      </c>
      <c r="X35" s="72">
        <f>W35*U35+O35</f>
        <v>45.100410017800712</v>
      </c>
    </row>
    <row r="36" spans="1:24" ht="14.4" x14ac:dyDescent="0.25">
      <c r="A36" s="11"/>
      <c r="B36" s="11"/>
      <c r="C36" s="11"/>
      <c r="D36"/>
      <c r="E36" s="27">
        <f>SUM(E32:E35)</f>
        <v>140.25</v>
      </c>
      <c r="F36"/>
      <c r="G36"/>
      <c r="I36" s="52"/>
      <c r="J36" s="8"/>
      <c r="K36" s="8"/>
      <c r="L36" s="8"/>
      <c r="M36" s="8"/>
      <c r="N36" s="8"/>
      <c r="O36" s="8"/>
      <c r="P36" s="8"/>
      <c r="Q36" s="8"/>
      <c r="U36"/>
      <c r="W36" s="8"/>
      <c r="X36" s="28">
        <f>SUM(X32:X35)</f>
        <v>75.573603087800706</v>
      </c>
    </row>
    <row r="37" spans="1:24" customFormat="1" x14ac:dyDescent="0.25"/>
    <row r="38" spans="1:24" s="86" customFormat="1" ht="14.4" x14ac:dyDescent="0.25">
      <c r="A38" s="87" t="s">
        <v>54</v>
      </c>
      <c r="B38" s="84"/>
      <c r="C38" s="84"/>
      <c r="D38" s="84"/>
      <c r="E38" s="85"/>
    </row>
    <row r="39" spans="1:24" ht="14.4" x14ac:dyDescent="0.25">
      <c r="I39" s="52"/>
      <c r="J39" s="8"/>
      <c r="K39" s="8"/>
      <c r="L39" s="8"/>
      <c r="M39" s="8"/>
      <c r="N39" s="8"/>
      <c r="O39" s="8"/>
      <c r="P39" s="8"/>
      <c r="Q39" s="8"/>
    </row>
    <row r="40" spans="1:24" ht="14.4" x14ac:dyDescent="0.25">
      <c r="B40" s="36" t="s">
        <v>35</v>
      </c>
      <c r="C40" s="36"/>
      <c r="D40" s="36"/>
      <c r="E40" s="36"/>
      <c r="I40" s="52"/>
      <c r="J40" s="8"/>
      <c r="K40" s="8"/>
      <c r="L40" s="8"/>
      <c r="M40" s="8"/>
      <c r="N40" s="8"/>
      <c r="O40" s="8"/>
      <c r="P40" s="8"/>
      <c r="Q40" s="8"/>
    </row>
    <row r="41" spans="1:24" ht="14.4" x14ac:dyDescent="0.25">
      <c r="B41" s="1" t="s">
        <v>25</v>
      </c>
      <c r="E41" s="35">
        <f>E5</f>
        <v>350</v>
      </c>
      <c r="I41"/>
    </row>
    <row r="42" spans="1:24" ht="14.4" x14ac:dyDescent="0.25">
      <c r="B42" s="1" t="s">
        <v>26</v>
      </c>
      <c r="E42" s="29">
        <f>Y23+X36</f>
        <v>194.08040976780069</v>
      </c>
    </row>
    <row r="43" spans="1:24" ht="14.4" x14ac:dyDescent="0.25">
      <c r="B43" s="11" t="s">
        <v>27</v>
      </c>
      <c r="C43" s="11"/>
      <c r="D43" s="11"/>
      <c r="E43" s="30">
        <f>E42-E41</f>
        <v>-155.91959023219931</v>
      </c>
    </row>
    <row r="44" spans="1:24" ht="14.4" x14ac:dyDescent="0.25">
      <c r="B44" s="1" t="s">
        <v>55</v>
      </c>
      <c r="E44" s="31">
        <f>E43/E41</f>
        <v>-0.44548454352056949</v>
      </c>
    </row>
    <row r="46" spans="1:24" ht="14.4" x14ac:dyDescent="0.25">
      <c r="B46" s="36" t="s">
        <v>29</v>
      </c>
      <c r="C46" s="36"/>
      <c r="D46" s="36"/>
      <c r="E46" s="36"/>
    </row>
    <row r="47" spans="1:24" ht="14.4" x14ac:dyDescent="0.25">
      <c r="B47" s="1" t="s">
        <v>56</v>
      </c>
      <c r="E47" s="34">
        <f>IF(-E44&gt;40%,40%,-E44)</f>
        <v>0.4</v>
      </c>
    </row>
    <row r="48" spans="1:24" ht="14.4" x14ac:dyDescent="0.25">
      <c r="B48" s="1" t="s">
        <v>57</v>
      </c>
      <c r="E48" s="5">
        <f>E47*E41</f>
        <v>140</v>
      </c>
    </row>
    <row r="49" ht="14.4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ht="14.4" x14ac:dyDescent="0.25"/>
  </sheetData>
  <mergeCells count="8">
    <mergeCell ref="B40:E40"/>
    <mergeCell ref="B46:E46"/>
    <mergeCell ref="C14:G14"/>
    <mergeCell ref="I14:R14"/>
    <mergeCell ref="U14:Y14"/>
    <mergeCell ref="C30:E30"/>
    <mergeCell ref="I30:R30"/>
    <mergeCell ref="U30:X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הסבר לשימוש בדוגמה</vt:lpstr>
      <vt:lpstr>דוגמה- לעלית ערך התיק  </vt:lpstr>
      <vt:lpstr>דוגמה- לירידת ערך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 Barda</dc:creator>
  <cp:lastModifiedBy>Dor Barda</cp:lastModifiedBy>
  <dcterms:created xsi:type="dcterms:W3CDTF">2020-07-06T06:36:38Z</dcterms:created>
  <dcterms:modified xsi:type="dcterms:W3CDTF">2020-07-16T10:21:32Z</dcterms:modified>
</cp:coreProperties>
</file>