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shira.v\Documents\תקציב\חריגות משרדיות\2021\"/>
    </mc:Choice>
  </mc:AlternateContent>
  <xr:revisionPtr revIDLastSave="0" documentId="8_{4CD6B7E2-AC7D-4C7E-89A5-4690DD65AD46}" xr6:coauthVersionLast="47" xr6:coauthVersionMax="47" xr10:uidLastSave="{00000000-0000-0000-0000-000000000000}"/>
  <bookViews>
    <workbookView xWindow="-120" yWindow="-120" windowWidth="29040" windowHeight="15840" activeTab="3" xr2:uid="{00000000-000D-0000-FFFF-FFFF00000000}"/>
  </bookViews>
  <sheets>
    <sheet name="דוח פניות לאוצר 2021" sheetId="24" r:id="rId1"/>
    <sheet name="דוח החרגות" sheetId="28" r:id="rId2"/>
    <sheet name="ספטמבר" sheetId="35" r:id="rId3"/>
    <sheet name="אוקטובר" sheetId="36" r:id="rId4"/>
  </sheets>
  <externalReferences>
    <externalReference r:id="rId5"/>
    <externalReference r:id="rId6"/>
    <externalReference r:id="rId7"/>
  </externalReferences>
  <definedNames>
    <definedName name="נספח_ב" localSheetId="3">אוקטובר!#REF!</definedName>
    <definedName name="נספח_ב" localSheetId="2">ספטמבר!#REF!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36" l="1"/>
  <c r="D12" i="36"/>
  <c r="N12" i="28"/>
  <c r="O12" i="28" s="1"/>
  <c r="N28" i="28"/>
  <c r="D19" i="36"/>
  <c r="N38" i="28"/>
  <c r="O37" i="28"/>
  <c r="O36" i="28"/>
  <c r="D35" i="28"/>
  <c r="O35" i="28" s="1"/>
  <c r="O34" i="28"/>
  <c r="D33" i="28"/>
  <c r="O33" i="28" s="1"/>
  <c r="O32" i="28"/>
  <c r="O31" i="28"/>
  <c r="O30" i="28"/>
  <c r="D29" i="28"/>
  <c r="O29" i="28" s="1"/>
  <c r="O28" i="28"/>
  <c r="D27" i="28"/>
  <c r="O27" i="28" s="1"/>
  <c r="O26" i="28"/>
  <c r="D25" i="28"/>
  <c r="O25" i="28" s="1"/>
  <c r="O24" i="28"/>
  <c r="O23" i="28"/>
  <c r="D23" i="28"/>
  <c r="O22" i="28"/>
  <c r="D22" i="28"/>
  <c r="O21" i="28"/>
  <c r="D21" i="28"/>
  <c r="O20" i="28"/>
  <c r="D20" i="28"/>
  <c r="O19" i="28"/>
  <c r="O18" i="28"/>
  <c r="O17" i="28"/>
  <c r="D16" i="28"/>
  <c r="O16" i="28" s="1"/>
  <c r="O15" i="28"/>
  <c r="O14" i="28"/>
  <c r="O13" i="28"/>
  <c r="D11" i="28"/>
  <c r="O11" i="28" s="1"/>
  <c r="O10" i="28"/>
  <c r="O9" i="28"/>
  <c r="O8" i="28"/>
  <c r="O7" i="28"/>
  <c r="O6" i="28"/>
  <c r="O5" i="28"/>
  <c r="D4" i="28"/>
  <c r="O4" i="28" s="1"/>
  <c r="O3" i="28"/>
  <c r="D2" i="28"/>
  <c r="O2" i="28" s="1"/>
  <c r="D10" i="35" l="1"/>
  <c r="J2" i="24"/>
  <c r="J5" i="24"/>
  <c r="J6" i="24"/>
  <c r="J7" i="24"/>
  <c r="J8" i="24"/>
  <c r="J9" i="24"/>
  <c r="J10" i="24"/>
  <c r="J11" i="24"/>
  <c r="J12" i="24"/>
  <c r="J13" i="24"/>
  <c r="D18" i="35" l="1"/>
  <c r="G12" i="24"/>
  <c r="G11" i="24"/>
  <c r="G2" i="24"/>
  <c r="G3" i="24"/>
  <c r="G4" i="24"/>
  <c r="G5" i="24"/>
  <c r="G6" i="24"/>
  <c r="G7" i="24"/>
  <c r="G8" i="24"/>
  <c r="G9" i="24"/>
  <c r="G10" i="24"/>
  <c r="F9" i="24" l="1"/>
  <c r="F8" i="24"/>
  <c r="F7" i="24"/>
  <c r="F6" i="24"/>
  <c r="I4" i="24"/>
  <c r="J4" i="24" s="1"/>
  <c r="I3" i="24"/>
  <c r="J3" i="24" s="1"/>
</calcChain>
</file>

<file path=xl/sharedStrings.xml><?xml version="1.0" encoding="utf-8"?>
<sst xmlns="http://schemas.openxmlformats.org/spreadsheetml/2006/main" count="262" uniqueCount="185">
  <si>
    <t>הרשות הלאומית לחדשנות טכנולוגית</t>
  </si>
  <si>
    <t>פורמט לדיווח על החלטות בעניין הוצאות המשרד</t>
  </si>
  <si>
    <t>מס</t>
  </si>
  <si>
    <t>ספק</t>
  </si>
  <si>
    <t>נושא ההתקשרות</t>
  </si>
  <si>
    <r>
      <t>סכום ההתקשרות (</t>
    </r>
    <r>
      <rPr>
        <sz val="8"/>
        <color theme="1"/>
        <rFont val="Arial"/>
        <family val="2"/>
        <charset val="177"/>
        <scheme val="minor"/>
      </rPr>
      <t>סכום ההתקשרות ולא סכום המזומן</t>
    </r>
    <r>
      <rPr>
        <sz val="11"/>
        <color theme="1"/>
        <rFont val="Arial"/>
        <family val="2"/>
        <charset val="177"/>
        <scheme val="minor"/>
      </rPr>
      <t>)</t>
    </r>
  </si>
  <si>
    <t xml:space="preserve">שם הספק </t>
  </si>
  <si>
    <t>סכום מבוקש בש"ח כולל מעמ!!</t>
  </si>
  <si>
    <t>תקנה/ פריט התחייבות</t>
  </si>
  <si>
    <t>שם תקנה</t>
  </si>
  <si>
    <t>מרכז קרנות</t>
  </si>
  <si>
    <t>שם מרכז קרנות</t>
  </si>
  <si>
    <t>תפעול</t>
  </si>
  <si>
    <t>משרדיות</t>
  </si>
  <si>
    <t>אושר</t>
  </si>
  <si>
    <t xml:space="preserve">מחשוב </t>
  </si>
  <si>
    <t>מספר</t>
  </si>
  <si>
    <t>תאריך פנייה</t>
  </si>
  <si>
    <t>נושא</t>
  </si>
  <si>
    <t>סכום מבוקש</t>
  </si>
  <si>
    <t>סטטוס</t>
  </si>
  <si>
    <t>סכום מאושר</t>
  </si>
  <si>
    <t>שיווק</t>
  </si>
  <si>
    <t>הפרש</t>
  </si>
  <si>
    <t>נספח ב להודעת הנחיות לביצוע התקציב בשנת 2021</t>
  </si>
  <si>
    <t>24.01.2021</t>
  </si>
  <si>
    <t>25.01.2021</t>
  </si>
  <si>
    <t>הערות</t>
  </si>
  <si>
    <t xml:space="preserve">ניצול מתוך הפנייה </t>
  </si>
  <si>
    <t xml:space="preserve">יתרה לניצול </t>
  </si>
  <si>
    <t>בקשה למתן מענקים מכוח החוק לעידוד מחקר, פיתוח וחדשנות טכנולוגית בתעשייה, תשמ"ד-1094 (תקציב הרשאה) והתקשרויות נלוות, עבור קול קורא לניסוי והדגמת טכנולוגיות רחפנים במרחב אווירי מנוהל-  הרשות הלאומית לחדשנות</t>
  </si>
  <si>
    <t>בקשה להתקשרות עם משרדי רואי חשבון + מעריכי שווי קניין רוחני – הרשות הלאומית לחדשנות טכנולוגית</t>
  </si>
  <si>
    <t>07.02.2021</t>
  </si>
  <si>
    <t xml:space="preserve">בקשה להתקשרות עם בודקים מקצועיים  </t>
  </si>
  <si>
    <t>14.02.2021</t>
  </si>
  <si>
    <t xml:space="preserve">בקשה לאישור התקשרות עם בי ויי הפקות והשקעות בע"מ להפקת כנס השקה לתכנית הורייזון אירופה (Horizon Europe) </t>
  </si>
  <si>
    <t>הוגש</t>
  </si>
  <si>
    <t>יאושר על ידי החשב- יצאה הוראת תכם מעודכנת בנושא</t>
  </si>
  <si>
    <t>02.03.2021</t>
  </si>
  <si>
    <t xml:space="preserve">בקשה ל: מתן מענקים מכוח החוק לעידוד מחקר, פיתוח וחדשנות טכנולוגית בתעשייה, תשמ"ד-1094 (תקציב הרשאה) והתקשרויות נלוות – הרשות הלאומית לחדשנות טכנולוגית- </t>
  </si>
  <si>
    <t>תקציב הרשאה הגדלה ל 526.2 משל"ח + לפמ 1.5 מלשח. הסכום המבוקש מתייחס לתקציב מזומן בלבד</t>
  </si>
  <si>
    <t>14.03.2021</t>
  </si>
  <si>
    <t>בקשה להתקשרות עם ספקים המעניקים שירותי יחסי ציבור בארץ ובחו"ל – רשות החדשנות</t>
  </si>
  <si>
    <t>דבי משה והמקומיוניקיישנס</t>
  </si>
  <si>
    <t>16.03.2021</t>
  </si>
  <si>
    <t xml:space="preserve">בקשה לאישור פרסומה של פנייה פרטנית מכוח מכרז מסגרת מס' 11/2018 של הרשות, לקבלת שירותי מידענות ומחקר שוק, ולהתקשרות עם ספק המסגרת הזוכה בפנייה הפרטנית, לצורך ניהול, ריכוז וניתוח הממצאים של פנייה לציבור לקבלת מידע בנוגע לרגולציה וחסמים רגולטוריים ביחס לתחום הבינה המלאכותית, לשם קידום פעילות זו בישראל </t>
  </si>
  <si>
    <t>18.03.2021</t>
  </si>
  <si>
    <t>בקשה למימוש אופציה להתקשרות עם ארנסט יאנג (ישראל) בע"מ – רשות החדשנות</t>
  </si>
  <si>
    <t xml:space="preserve">מטרת ההתקשרות </t>
  </si>
  <si>
    <r>
      <t>סכום התקשרות מצטבר מול הספק (</t>
    </r>
    <r>
      <rPr>
        <b/>
        <sz val="8"/>
        <color theme="1"/>
        <rFont val="Arial"/>
        <family val="2"/>
        <scheme val="minor"/>
      </rPr>
      <t>אם רלוונטי</t>
    </r>
    <r>
      <rPr>
        <b/>
        <sz val="11"/>
        <color theme="1"/>
        <rFont val="Arial"/>
        <family val="2"/>
        <scheme val="minor"/>
      </rPr>
      <t>)</t>
    </r>
  </si>
  <si>
    <t>יתרה מתקרת ההתקשרות</t>
  </si>
  <si>
    <r>
      <t>אושר בוועדת חריגים (</t>
    </r>
    <r>
      <rPr>
        <b/>
        <sz val="8"/>
        <color theme="1"/>
        <rFont val="Arial"/>
        <family val="2"/>
        <scheme val="minor"/>
      </rPr>
      <t>אם כן, לציין מס פנייה ותאריך אישור</t>
    </r>
    <r>
      <rPr>
        <b/>
        <sz val="11"/>
        <color theme="1"/>
        <rFont val="Arial"/>
        <family val="2"/>
        <scheme val="minor"/>
      </rPr>
      <t>)</t>
    </r>
  </si>
  <si>
    <r>
      <t>אושר בוועדת מכרזים (</t>
    </r>
    <r>
      <rPr>
        <b/>
        <sz val="8"/>
        <color theme="1"/>
        <rFont val="Arial"/>
        <family val="2"/>
        <scheme val="minor"/>
      </rPr>
      <t>אם כן, לציין תאריך דיון</t>
    </r>
    <r>
      <rPr>
        <b/>
        <sz val="11"/>
        <color theme="1"/>
        <rFont val="Arial"/>
        <family val="2"/>
        <scheme val="minor"/>
      </rPr>
      <t>)</t>
    </r>
  </si>
  <si>
    <t>נוצרה/ הוגדלה התחייבות מספר</t>
  </si>
  <si>
    <t xml:space="preserve">שווי שורה/ הגדלה </t>
  </si>
  <si>
    <t>הפרש יתרה שלא נוצלה מהחרגה</t>
  </si>
  <si>
    <t>החרגה קיימת/קודמת</t>
  </si>
  <si>
    <t>סכום להחרגה</t>
  </si>
  <si>
    <t>הוחרג בפועל</t>
  </si>
  <si>
    <t>01.06.2021</t>
  </si>
  <si>
    <t xml:space="preserve">בקשה להרחבת התקשרות עם חברת ספארק ביונד בע"מ </t>
  </si>
  <si>
    <t>14.07.2021</t>
  </si>
  <si>
    <t>קיום כנס רשות החדשנות</t>
  </si>
  <si>
    <t>03.08.2021</t>
  </si>
  <si>
    <t>תוספת בסך של 517.5 מלש"ח בהרשאה להתחייב, לצורך מתן מענקים חדשים במסגרת מסלולי ההטבה של רשות החדשנות+ המשך פיילוט רחפנים</t>
  </si>
  <si>
    <t>בוטל מטעם הרשות</t>
  </si>
  <si>
    <t>משאבים</t>
  </si>
  <si>
    <t>לבחינת בקשות במסגרת קול קורא 44 לפי תוח הון אנושי לתעשיה עתירת הידע</t>
  </si>
  <si>
    <t>דיור</t>
  </si>
  <si>
    <t>דמי חבר לארגונים</t>
  </si>
  <si>
    <t>גטי מלחה</t>
  </si>
  <si>
    <t>דוח החרגות לחודש: ספטמבר 2021</t>
  </si>
  <si>
    <t>פרסומי חודש 09/2021 בהתאם להוראות סעיף 49(ב) לחוק יסודות התקציב, תשמ"ה-1985</t>
  </si>
  <si>
    <t>ביקורת פרויקטים</t>
  </si>
  <si>
    <t>המערך הטכנולוגי</t>
  </si>
  <si>
    <t>מועד</t>
  </si>
  <si>
    <t>30.09.2021</t>
  </si>
  <si>
    <t xml:space="preserve">בקשה להתקשרות עם לפ"מ לפרסום וקידום קולות קוראים להגשת בקשות למענקים </t>
  </si>
  <si>
    <t>בדיקת בקשות במסלול 44 – קרן הון אנושי</t>
  </si>
  <si>
    <t>שכירות רבעון 3 לשנת 2021</t>
  </si>
  <si>
    <t>הארכת התקשרות עם משרד רו"ח לביצוע ביקורת בחשבות</t>
  </si>
  <si>
    <t>ציוד מחשבים</t>
  </si>
  <si>
    <t>שירותי יעוץ- הרחבה והארכת התקשרות עם יועץ הביטוח של הרשות</t>
  </si>
  <si>
    <t>חברת פז- הרחבת והארכת התקשרות לשנת 2021 עבור שירותי תדלוק ושטיפת רכבים</t>
  </si>
  <si>
    <t>הוצאות משרדיות</t>
  </si>
  <si>
    <t>מינוי למאגר נתונים</t>
  </si>
  <si>
    <t xml:space="preserve">שירותי יעוץ- ליווי של הרשות בכתיבת מפרט למכרז  </t>
  </si>
  <si>
    <t>דוח החרגות לחודש: אוקטובר 2021</t>
  </si>
  <si>
    <t>פרסומי חודש 10/2021 בהתאם להוראות סעיף 49(ב) לחוק יסודות התקציב, תשמ"ה-1985</t>
  </si>
  <si>
    <t>סלופארק</t>
  </si>
  <si>
    <t>שירותי חנייה וכביש 6</t>
  </si>
  <si>
    <t>לקרוא את הצעת המחיר</t>
  </si>
  <si>
    <t>לפמ</t>
  </si>
  <si>
    <t>הגדלת התקשרות לשנת 2021</t>
  </si>
  <si>
    <t>פנייה 36815  מיום 30.09.2021</t>
  </si>
  <si>
    <t>גלשן שווקים</t>
  </si>
  <si>
    <t>הארכה והגדלת התקשרות עד ל 10/2022</t>
  </si>
  <si>
    <t>19.08.2021</t>
  </si>
  <si>
    <t>KOREA ISRAEL INDUSTRIAL R&amp;D  FOUNDA</t>
  </si>
  <si>
    <t>ביצוע אנליזת דוח מחקר אסטרטגי על פעילות הקרן</t>
  </si>
  <si>
    <t>וואן</t>
  </si>
  <si>
    <t>בינלאומי -ממומן</t>
  </si>
  <si>
    <t>מתוקה</t>
  </si>
  <si>
    <t>כיבוד אירוע רחפנים</t>
  </si>
  <si>
    <t>גרוס עידן</t>
  </si>
  <si>
    <t>צילום פיילוט אירוע הרחפנים</t>
  </si>
  <si>
    <t xml:space="preserve">מינהל הדיור </t>
  </si>
  <si>
    <t>תקציב ייעודי לתחזוקת נכסי מדינה</t>
  </si>
  <si>
    <t>בי אול סנטר</t>
  </si>
  <si>
    <t>חניה לאהרון</t>
  </si>
  <si>
    <t>ענבר אדמון</t>
  </si>
  <si>
    <t>בינת תקשורת</t>
  </si>
  <si>
    <t>מכרז שירלי- הוספת קיטים לחדרי  ישיבות והארכת התקשרות</t>
  </si>
  <si>
    <t>31.08.2021</t>
  </si>
  <si>
    <t>ZOOM</t>
  </si>
  <si>
    <t>הרחבה והארכת התקשרות</t>
  </si>
  <si>
    <t>דולר</t>
  </si>
  <si>
    <t>05.10.2021</t>
  </si>
  <si>
    <t>טיקל סנטר</t>
  </si>
  <si>
    <t>רכישה של 4 טלפונים נייחים</t>
  </si>
  <si>
    <t>ידיעות אחרונות</t>
  </si>
  <si>
    <t>שתפ בכנס TLV- TECH</t>
  </si>
  <si>
    <t>מידאטה</t>
  </si>
  <si>
    <t xml:space="preserve"> רגולציה וחסמיים רגולטוריים - בינה מלאכותית</t>
  </si>
  <si>
    <t>פנייה 35320 מיום 22.03.2021</t>
  </si>
  <si>
    <t>ייעוץ משפטי</t>
  </si>
  <si>
    <t>פרשקאפ</t>
  </si>
  <si>
    <t>מכונות לשטיפת כוסות</t>
  </si>
  <si>
    <t>מרכז הציפויים</t>
  </si>
  <si>
    <t>אורפז ענבל</t>
  </si>
  <si>
    <t>יעוץ שעתי בכתיבת דוח החדשנות</t>
  </si>
  <si>
    <t>יועצים ומחקר</t>
  </si>
  <si>
    <t>קלאודטק</t>
  </si>
  <si>
    <t>רישוי משתמשים נוספים למערכת ה CRM- הגדלה מ 80 משתמשים ל 95 (+15), בעלות חודשית של 117$ + מעמ עד לתום תקופת החוזה המקורי. הוצאה הזמנה חדשה היות ויש שורה קיימת בהסכם המקור</t>
  </si>
  <si>
    <t>14.10.2021</t>
  </si>
  <si>
    <t>שלומציון לולו</t>
  </si>
  <si>
    <t xml:space="preserve">סדנא העוסקת באומנות השירות , עבור מערך לקוחות והתפעול </t>
  </si>
  <si>
    <t>תוסף לכלי Own-Backup  מחיר עבור מינוי לשנה</t>
  </si>
  <si>
    <t>קלמנטינה</t>
  </si>
  <si>
    <t>הגדלת התקשרות מתנות ליולדת</t>
  </si>
  <si>
    <t>משאבי אנוש</t>
  </si>
  <si>
    <t>א. סודרי</t>
  </si>
  <si>
    <t>רכישת 4 מחשבים</t>
  </si>
  <si>
    <t>פאוזה</t>
  </si>
  <si>
    <t>הרחבת ההתקשרות עבור רכישת קפה</t>
  </si>
  <si>
    <t>מלכה</t>
  </si>
  <si>
    <t>כיבוד עבור מפגש רשות החדשנות</t>
  </si>
  <si>
    <t xml:space="preserve">ביי מי </t>
  </si>
  <si>
    <t>תוי שי לימי הולדת עובדים</t>
  </si>
  <si>
    <t>דואר ישראל</t>
  </si>
  <si>
    <t>שליחת דואר רשום- 550 פריטים</t>
  </si>
  <si>
    <t>אלעד שמואלי</t>
  </si>
  <si>
    <t>הזמנה למאייר לטובת סירטונים מאויירים</t>
  </si>
  <si>
    <t>מדיטה</t>
  </si>
  <si>
    <t>מפגש סיכום CRM שלב א - ארוחת צהריים</t>
  </si>
  <si>
    <t xml:space="preserve"> שביט י. הנדסת מחשבים בע"מ</t>
  </si>
  <si>
    <t>יעוץ לאיסרד</t>
  </si>
  <si>
    <t>19.10.2021</t>
  </si>
  <si>
    <t>איסרד</t>
  </si>
  <si>
    <t xml:space="preserve">כיבוד לאירוח אירוע נשיא קולומביה </t>
  </si>
  <si>
    <t>יעוץ וחילוץ אנליזה</t>
  </si>
  <si>
    <t>תפעול מערך טכנולוגי</t>
  </si>
  <si>
    <t>קישורית</t>
  </si>
  <si>
    <t>התקשרות לשלושה חודשים עבור קבלת שיחות לשירות הלקוחות</t>
  </si>
  <si>
    <t>שירות לקוחות</t>
  </si>
  <si>
    <t>מסיעי אריה שאשא</t>
  </si>
  <si>
    <t>הרחבת התקשרות ל 2022 על פי הוראת תכם</t>
  </si>
  <si>
    <t>מעבר לירושלים</t>
  </si>
  <si>
    <t>סיגנצ'ור אי טי</t>
  </si>
  <si>
    <t xml:space="preserve">תחזוקת מערכת סקאוטינג שנה שלישית </t>
  </si>
  <si>
    <t>מינהל הדיור הממשלתי</t>
  </si>
  <si>
    <t>תשלום עבור דיור רבעון 3- 2021</t>
  </si>
  <si>
    <t>השתתפות בשכר דירה</t>
  </si>
  <si>
    <t>עבודות התאמה- נזילה בקומה 3</t>
  </si>
  <si>
    <t>התקשרות עם יועצים</t>
  </si>
  <si>
    <r>
      <t xml:space="preserve">ציפוי חלונות רכבי ה </t>
    </r>
    <r>
      <rPr>
        <sz val="11"/>
        <color rgb="FFFF0000"/>
        <rFont val="Calibri"/>
        <family val="2"/>
      </rPr>
      <t>MG- כרגע עבור 5 רכבים</t>
    </r>
  </si>
  <si>
    <t>הוצאות שיווק</t>
  </si>
  <si>
    <t>פנייה 35320 לוועדת החריגים-התקשרות עם יועצים</t>
  </si>
  <si>
    <t>פנייה 36815 לוועדת חריגים - הגדלת התקשרות עם חברת לפמ</t>
  </si>
  <si>
    <t>הוצאות תחזוקה וחידוש רשיונות- מיחשוב</t>
  </si>
  <si>
    <t>הוצאות רווחה לעובדים</t>
  </si>
  <si>
    <t>ביצוע אנליזת מחקר- קרן קוריאה</t>
  </si>
  <si>
    <t>מינהל הדיור</t>
  </si>
  <si>
    <t xml:space="preserve">שירותי הסעות- הרחבת התקשרות </t>
  </si>
  <si>
    <t>מינהל הדיור- שכר דירה גטי מלחה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</si>
</sst>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43" formatCode="_ * #,##0.00_ ;_ * \-#,##0.00_ ;_ * &quot;-&quot;??_ ;_ @_ "/>
  </numFmts>
  <fonts count="33" x14ac:knownFonts="1">
    <font>
      <sz val="11"/>
      <color theme="1"/>
      <name val="Arial"/>
      <family val="2"/>
      <charset val="177"/>
      <scheme val="minor"/>
    </font>
    <font>
      <sz val="11"/>
      <color theme="1"/>
      <name val="Arial"/>
      <family val="2"/>
      <scheme val="minor"/>
    </font>
    <font>
      <sz val="10"/>
      <name val="Arial"/>
      <family val="2"/>
    </font>
    <font>
      <sz val="11"/>
      <color rgb="FFFF0000"/>
      <name val="Arial"/>
      <family val="2"/>
      <charset val="177"/>
      <scheme val="minor"/>
    </font>
    <font>
      <sz val="10"/>
      <color theme="1"/>
      <name val="Times New Roman"/>
      <family val="1"/>
    </font>
    <font>
      <b/>
      <sz val="11"/>
      <color rgb="FFFFFFFF"/>
      <name val="Arial"/>
      <family val="2"/>
      <scheme val="minor"/>
    </font>
    <font>
      <sz val="11"/>
      <color theme="1"/>
      <name val="David"/>
      <family val="2"/>
      <charset val="177"/>
    </font>
    <font>
      <b/>
      <sz val="12"/>
      <color rgb="FF000000"/>
      <name val="David"/>
      <family val="2"/>
      <charset val="177"/>
    </font>
    <font>
      <sz val="12"/>
      <color rgb="FF5A5A5A"/>
      <name val="David"/>
      <family val="2"/>
      <charset val="177"/>
    </font>
    <font>
      <sz val="12"/>
      <color theme="1"/>
      <name val="David"/>
      <family val="2"/>
      <charset val="177"/>
    </font>
    <font>
      <sz val="10"/>
      <color theme="1"/>
      <name val="David"/>
      <family val="2"/>
      <charset val="177"/>
    </font>
    <font>
      <sz val="8"/>
      <color theme="1"/>
      <name val="Arial"/>
      <family val="2"/>
      <charset val="177"/>
      <scheme val="minor"/>
    </font>
    <font>
      <sz val="11"/>
      <color theme="1"/>
      <name val="Arial"/>
      <family val="2"/>
      <charset val="177"/>
      <scheme val="minor"/>
    </font>
    <font>
      <sz val="10"/>
      <name val="Arial"/>
      <family val="2"/>
    </font>
    <font>
      <sz val="10"/>
      <name val="Arial"/>
      <family val="2"/>
    </font>
    <font>
      <sz val="12"/>
      <name val="David"/>
      <family val="2"/>
      <charset val="177"/>
    </font>
    <font>
      <sz val="10"/>
      <name val="Arial"/>
      <family val="2"/>
    </font>
    <font>
      <sz val="10"/>
      <name val="Arial"/>
      <family val="2"/>
    </font>
    <font>
      <sz val="10"/>
      <name val="Arial"/>
      <family val="2"/>
    </font>
    <font>
      <sz val="11"/>
      <color theme="1"/>
      <name val="David"/>
      <family val="2"/>
    </font>
    <font>
      <b/>
      <sz val="11"/>
      <color theme="1"/>
      <name val="Arial"/>
      <family val="2"/>
      <scheme val="minor"/>
    </font>
    <font>
      <b/>
      <sz val="8"/>
      <color theme="1"/>
      <name val="Arial"/>
      <family val="2"/>
      <scheme val="minor"/>
    </font>
    <font>
      <sz val="10"/>
      <name val="Arial"/>
      <family val="2"/>
    </font>
    <font>
      <sz val="11"/>
      <color rgb="FFFF0000"/>
      <name val="David"/>
      <family val="2"/>
    </font>
    <font>
      <sz val="11"/>
      <color rgb="FFFF0000"/>
      <name val="Arial"/>
      <family val="2"/>
      <scheme val="minor"/>
    </font>
    <font>
      <sz val="11"/>
      <name val="David"/>
      <family val="2"/>
    </font>
    <font>
      <strike/>
      <sz val="11"/>
      <color theme="1"/>
      <name val="Arial"/>
      <family val="2"/>
      <charset val="177"/>
      <scheme val="minor"/>
    </font>
    <font>
      <strike/>
      <sz val="11"/>
      <color theme="1"/>
      <name val="Arial"/>
      <family val="2"/>
      <scheme val="minor"/>
    </font>
    <font>
      <b/>
      <sz val="11"/>
      <name val="Arial"/>
      <family val="2"/>
      <scheme val="minor"/>
    </font>
    <font>
      <strike/>
      <sz val="11"/>
      <name val="Arial"/>
      <family val="2"/>
      <scheme val="minor"/>
    </font>
    <font>
      <sz val="11"/>
      <name val="Arial"/>
      <family val="2"/>
      <scheme val="minor"/>
    </font>
    <font>
      <sz val="11"/>
      <color rgb="FFFF0000"/>
      <name val="Calibri"/>
      <family val="2"/>
    </font>
    <font>
      <sz val="11"/>
      <color rgb="FFFF0000"/>
      <name val="Arial"/>
      <family val="2"/>
    </font>
  </fonts>
  <fills count="3">
    <fill>
      <patternFill patternType="none"/>
    </fill>
    <fill>
      <patternFill patternType="gray125"/>
    </fill>
    <fill>
      <patternFill patternType="solid">
        <fgColor rgb="FF00CC99"/>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s>
  <cellStyleXfs count="12">
    <xf numFmtId="0" fontId="0" fillId="0" borderId="0"/>
    <xf numFmtId="43" fontId="12" fillId="0" borderId="0" applyFont="0" applyFill="0" applyBorder="0" applyAlignment="0" applyProtection="0"/>
    <xf numFmtId="0" fontId="2" fillId="0" borderId="0"/>
    <xf numFmtId="44" fontId="12" fillId="0" borderId="0" applyFont="0" applyFill="0" applyBorder="0" applyAlignment="0" applyProtection="0"/>
    <xf numFmtId="0" fontId="13" fillId="0" borderId="0"/>
    <xf numFmtId="0" fontId="14" fillId="0" borderId="0"/>
    <xf numFmtId="43" fontId="12" fillId="0" borderId="0" applyFont="0" applyFill="0" applyBorder="0" applyAlignment="0" applyProtection="0"/>
    <xf numFmtId="0" fontId="2" fillId="0" borderId="0"/>
    <xf numFmtId="0" fontId="16" fillId="0" borderId="0"/>
    <xf numFmtId="0" fontId="17" fillId="0" borderId="0"/>
    <xf numFmtId="0" fontId="18" fillId="0" borderId="0"/>
    <xf numFmtId="0" fontId="22" fillId="0" borderId="0"/>
  </cellStyleXfs>
  <cellXfs count="103">
    <xf numFmtId="0" fontId="0" fillId="0" borderId="0" xfId="0"/>
    <xf numFmtId="0" fontId="4" fillId="0" borderId="0" xfId="0" applyFont="1"/>
    <xf numFmtId="0" fontId="5" fillId="0" borderId="0" xfId="0" applyFont="1" applyAlignment="1">
      <alignment vertical="center" readingOrder="2"/>
    </xf>
    <xf numFmtId="0" fontId="6" fillId="0" borderId="0" xfId="0" applyFont="1"/>
    <xf numFmtId="0" fontId="7" fillId="0" borderId="2" xfId="0" applyFont="1" applyBorder="1" applyAlignment="1">
      <alignment horizontal="right" vertical="center" readingOrder="2"/>
    </xf>
    <xf numFmtId="0" fontId="8" fillId="0" borderId="5" xfId="0" applyFont="1" applyBorder="1" applyAlignment="1">
      <alignment vertical="center" readingOrder="2"/>
    </xf>
    <xf numFmtId="0" fontId="9" fillId="0" borderId="4" xfId="0" applyFont="1" applyBorder="1" applyAlignment="1">
      <alignment vertical="center" readingOrder="2"/>
    </xf>
    <xf numFmtId="0" fontId="9" fillId="0" borderId="5" xfId="0" applyFont="1" applyBorder="1" applyAlignment="1">
      <alignment vertical="center" readingOrder="2"/>
    </xf>
    <xf numFmtId="0" fontId="10" fillId="0" borderId="4" xfId="0" applyFont="1" applyBorder="1"/>
    <xf numFmtId="0" fontId="10" fillId="0" borderId="5" xfId="0" applyFont="1" applyBorder="1"/>
    <xf numFmtId="0" fontId="6" fillId="0" borderId="6" xfId="0" applyFont="1" applyBorder="1"/>
    <xf numFmtId="0" fontId="6" fillId="0" borderId="7" xfId="0" applyFont="1" applyBorder="1"/>
    <xf numFmtId="0" fontId="0" fillId="0" borderId="0" xfId="0" applyAlignment="1">
      <alignment horizontal="center" vertical="center"/>
    </xf>
    <xf numFmtId="0" fontId="0" fillId="0" borderId="0" xfId="0" applyAlignment="1">
      <alignment horizontal="center" vertical="center" wrapText="1"/>
    </xf>
    <xf numFmtId="0" fontId="6" fillId="0" borderId="0" xfId="0" applyFont="1" applyAlignment="1">
      <alignment wrapText="1"/>
    </xf>
    <xf numFmtId="0" fontId="3" fillId="0" borderId="0" xfId="0" applyFont="1"/>
    <xf numFmtId="0" fontId="7" fillId="0" borderId="3" xfId="0" applyFont="1" applyBorder="1" applyAlignment="1">
      <alignment horizontal="center" vertical="center" wrapText="1" readingOrder="2"/>
    </xf>
    <xf numFmtId="0" fontId="15" fillId="0" borderId="4" xfId="0" applyFont="1" applyBorder="1" applyAlignment="1">
      <alignment vertical="center" readingOrder="2"/>
    </xf>
    <xf numFmtId="0" fontId="0" fillId="0" borderId="0" xfId="0" applyAlignment="1">
      <alignment wrapText="1"/>
    </xf>
    <xf numFmtId="43" fontId="0" fillId="0" borderId="0" xfId="1" applyFont="1"/>
    <xf numFmtId="43" fontId="0" fillId="0" borderId="0" xfId="1" applyFont="1" applyAlignment="1">
      <alignment horizontal="center" vertical="center" wrapText="1"/>
    </xf>
    <xf numFmtId="43" fontId="0" fillId="0" borderId="0" xfId="1" applyFont="1" applyAlignment="1">
      <alignment wrapText="1"/>
    </xf>
    <xf numFmtId="0" fontId="19" fillId="0" borderId="0" xfId="0" applyFont="1" applyAlignment="1">
      <alignment wrapText="1"/>
    </xf>
    <xf numFmtId="43" fontId="19" fillId="0" borderId="0" xfId="1" applyFont="1"/>
    <xf numFmtId="0" fontId="0" fillId="0" borderId="0" xfId="0" applyAlignment="1">
      <alignment horizontal="right" wrapText="1"/>
    </xf>
    <xf numFmtId="43" fontId="0" fillId="0" borderId="0" xfId="1" applyFont="1" applyAlignment="1">
      <alignment horizontal="right" wrapText="1"/>
    </xf>
    <xf numFmtId="0" fontId="0" fillId="0" borderId="8" xfId="0" applyBorder="1" applyAlignment="1">
      <alignment wrapText="1"/>
    </xf>
    <xf numFmtId="43" fontId="0" fillId="0" borderId="8" xfId="1" applyFont="1" applyBorder="1" applyAlignment="1">
      <alignment wrapText="1"/>
    </xf>
    <xf numFmtId="43" fontId="0" fillId="0" borderId="8" xfId="0" applyNumberFormat="1" applyBorder="1" applyAlignment="1">
      <alignment wrapText="1"/>
    </xf>
    <xf numFmtId="2" fontId="20" fillId="2" borderId="8" xfId="0" applyNumberFormat="1"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43" fontId="20" fillId="2" borderId="10" xfId="1" applyFont="1" applyFill="1" applyBorder="1" applyAlignment="1">
      <alignment horizontal="center" vertical="center" wrapText="1"/>
    </xf>
    <xf numFmtId="4" fontId="20" fillId="2" borderId="11" xfId="1" applyNumberFormat="1" applyFont="1" applyFill="1" applyBorder="1" applyAlignment="1">
      <alignment horizontal="center" vertical="center" wrapText="1"/>
    </xf>
    <xf numFmtId="0" fontId="20" fillId="0" borderId="0" xfId="0" applyFont="1" applyAlignment="1">
      <alignment horizontal="center" vertical="center" wrapText="1"/>
    </xf>
    <xf numFmtId="4" fontId="0" fillId="0" borderId="0" xfId="0" applyNumberFormat="1" applyAlignment="1">
      <alignment wrapText="1"/>
    </xf>
    <xf numFmtId="2" fontId="0" fillId="0" borderId="0" xfId="0" applyNumberFormat="1" applyAlignment="1">
      <alignment wrapText="1"/>
    </xf>
    <xf numFmtId="43" fontId="3" fillId="0" borderId="8" xfId="1" applyFont="1" applyBorder="1" applyAlignment="1">
      <alignment wrapText="1"/>
    </xf>
    <xf numFmtId="2" fontId="0" fillId="0" borderId="8" xfId="0" applyNumberFormat="1" applyBorder="1" applyAlignment="1">
      <alignment wrapText="1"/>
    </xf>
    <xf numFmtId="0" fontId="1" fillId="0" borderId="0" xfId="0" applyFont="1"/>
    <xf numFmtId="0" fontId="23" fillId="0" borderId="0" xfId="0" applyFont="1"/>
    <xf numFmtId="43" fontId="19" fillId="0" borderId="0" xfId="0" applyNumberFormat="1" applyFont="1"/>
    <xf numFmtId="43" fontId="0" fillId="0" borderId="0" xfId="1" applyNumberFormat="1" applyFont="1"/>
    <xf numFmtId="4" fontId="0" fillId="0" borderId="1" xfId="1" applyNumberFormat="1" applyFont="1" applyBorder="1" applyAlignment="1">
      <alignment wrapText="1"/>
    </xf>
    <xf numFmtId="2" fontId="24" fillId="0" borderId="8" xfId="0" applyNumberFormat="1" applyFont="1" applyBorder="1" applyAlignment="1">
      <alignment wrapText="1"/>
    </xf>
    <xf numFmtId="0" fontId="24" fillId="0" borderId="8" xfId="0" applyFont="1" applyBorder="1" applyAlignment="1">
      <alignment wrapText="1"/>
    </xf>
    <xf numFmtId="43" fontId="24" fillId="0" borderId="8" xfId="1" applyFont="1" applyBorder="1" applyAlignment="1">
      <alignment wrapText="1"/>
    </xf>
    <xf numFmtId="4" fontId="24" fillId="0" borderId="1" xfId="1" applyNumberFormat="1" applyFont="1" applyBorder="1" applyAlignment="1">
      <alignment wrapText="1"/>
    </xf>
    <xf numFmtId="0" fontId="24" fillId="0" borderId="0" xfId="0" applyFont="1" applyAlignment="1">
      <alignment wrapText="1"/>
    </xf>
    <xf numFmtId="0" fontId="24" fillId="0" borderId="1" xfId="0" applyFont="1" applyBorder="1" applyAlignment="1">
      <alignment wrapText="1"/>
    </xf>
    <xf numFmtId="43" fontId="24" fillId="0" borderId="1" xfId="1" applyFont="1" applyBorder="1" applyAlignment="1">
      <alignment wrapText="1"/>
    </xf>
    <xf numFmtId="2" fontId="3" fillId="0" borderId="8" xfId="0" applyNumberFormat="1" applyFont="1" applyBorder="1" applyAlignment="1">
      <alignment wrapText="1"/>
    </xf>
    <xf numFmtId="0" fontId="3" fillId="0" borderId="8" xfId="0" applyFont="1" applyBorder="1" applyAlignment="1">
      <alignment wrapText="1"/>
    </xf>
    <xf numFmtId="0" fontId="3" fillId="0" borderId="1" xfId="0" applyFont="1" applyBorder="1" applyAlignment="1">
      <alignment wrapText="1"/>
    </xf>
    <xf numFmtId="4" fontId="3" fillId="0" borderId="1" xfId="1" applyNumberFormat="1" applyFont="1" applyBorder="1" applyAlignment="1">
      <alignment wrapText="1"/>
    </xf>
    <xf numFmtId="0" fontId="3" fillId="0" borderId="0" xfId="0" applyFont="1" applyAlignment="1">
      <alignment wrapText="1"/>
    </xf>
    <xf numFmtId="0" fontId="25" fillId="0" borderId="0" xfId="0" applyFont="1"/>
    <xf numFmtId="0" fontId="0" fillId="0" borderId="8" xfId="0" applyFill="1" applyBorder="1" applyAlignment="1">
      <alignment wrapText="1"/>
    </xf>
    <xf numFmtId="2" fontId="26" fillId="0" borderId="8" xfId="0" applyNumberFormat="1" applyFont="1" applyBorder="1" applyAlignment="1">
      <alignment wrapText="1"/>
    </xf>
    <xf numFmtId="0" fontId="26" fillId="0" borderId="12" xfId="0" applyFont="1" applyBorder="1" applyAlignment="1">
      <alignment wrapText="1"/>
    </xf>
    <xf numFmtId="43" fontId="26" fillId="0" borderId="12" xfId="1" applyFont="1" applyBorder="1" applyAlignment="1">
      <alignment wrapText="1"/>
    </xf>
    <xf numFmtId="43" fontId="26" fillId="0" borderId="8" xfId="1" applyFont="1" applyBorder="1" applyAlignment="1">
      <alignment wrapText="1"/>
    </xf>
    <xf numFmtId="43" fontId="26" fillId="0" borderId="12" xfId="0" applyNumberFormat="1" applyFont="1" applyBorder="1" applyAlignment="1">
      <alignment wrapText="1"/>
    </xf>
    <xf numFmtId="0" fontId="26" fillId="0" borderId="12" xfId="0" applyFont="1" applyFill="1" applyBorder="1" applyAlignment="1">
      <alignment wrapText="1"/>
    </xf>
    <xf numFmtId="4" fontId="26" fillId="0" borderId="1" xfId="1" applyNumberFormat="1" applyFont="1" applyBorder="1" applyAlignment="1">
      <alignment wrapText="1"/>
    </xf>
    <xf numFmtId="0" fontId="26" fillId="0" borderId="0" xfId="0" applyFont="1" applyAlignment="1">
      <alignment wrapText="1"/>
    </xf>
    <xf numFmtId="0" fontId="20" fillId="2" borderId="10" xfId="1" applyNumberFormat="1" applyFont="1" applyFill="1" applyBorder="1" applyAlignment="1">
      <alignment horizontal="center" vertical="center" wrapText="1"/>
    </xf>
    <xf numFmtId="0" fontId="26" fillId="0" borderId="12" xfId="1" applyNumberFormat="1" applyFont="1" applyBorder="1" applyAlignment="1">
      <alignment wrapText="1"/>
    </xf>
    <xf numFmtId="0" fontId="0" fillId="0" borderId="8" xfId="1" applyNumberFormat="1" applyFont="1" applyBorder="1" applyAlignment="1">
      <alignment wrapText="1"/>
    </xf>
    <xf numFmtId="0" fontId="0" fillId="0" borderId="0" xfId="1" applyNumberFormat="1" applyFont="1" applyAlignment="1">
      <alignment wrapText="1"/>
    </xf>
    <xf numFmtId="2" fontId="27" fillId="0" borderId="8" xfId="0" applyNumberFormat="1" applyFont="1" applyBorder="1" applyAlignment="1">
      <alignment wrapText="1"/>
    </xf>
    <xf numFmtId="0" fontId="27" fillId="0" borderId="8" xfId="0" applyFont="1" applyBorder="1" applyAlignment="1">
      <alignment wrapText="1"/>
    </xf>
    <xf numFmtId="43" fontId="27" fillId="0" borderId="8" xfId="1" applyFont="1" applyBorder="1" applyAlignment="1">
      <alignment wrapText="1"/>
    </xf>
    <xf numFmtId="43" fontId="27" fillId="0" borderId="8" xfId="0" applyNumberFormat="1" applyFont="1" applyBorder="1" applyAlignment="1">
      <alignment wrapText="1"/>
    </xf>
    <xf numFmtId="0" fontId="27" fillId="0" borderId="1" xfId="0" applyFont="1" applyFill="1" applyBorder="1" applyAlignment="1">
      <alignment wrapText="1"/>
    </xf>
    <xf numFmtId="0" fontId="27" fillId="0" borderId="8" xfId="1" applyNumberFormat="1" applyFont="1" applyBorder="1" applyAlignment="1">
      <alignment wrapText="1"/>
    </xf>
    <xf numFmtId="4" fontId="27" fillId="0" borderId="1" xfId="1" applyNumberFormat="1" applyFont="1" applyBorder="1" applyAlignment="1">
      <alignment wrapText="1"/>
    </xf>
    <xf numFmtId="0" fontId="27" fillId="0" borderId="0" xfId="0" applyFont="1" applyAlignment="1">
      <alignment wrapText="1"/>
    </xf>
    <xf numFmtId="43" fontId="28" fillId="2" borderId="10" xfId="1" applyFont="1" applyFill="1" applyBorder="1" applyAlignment="1">
      <alignment horizontal="center" vertical="center" wrapText="1"/>
    </xf>
    <xf numFmtId="4" fontId="29" fillId="0" borderId="12" xfId="1" applyNumberFormat="1" applyFont="1" applyBorder="1" applyAlignment="1">
      <alignment wrapText="1"/>
    </xf>
    <xf numFmtId="4" fontId="30" fillId="0" borderId="8" xfId="1" applyNumberFormat="1" applyFont="1" applyBorder="1" applyAlignment="1">
      <alignment wrapText="1"/>
    </xf>
    <xf numFmtId="4" fontId="29" fillId="0" borderId="8" xfId="1" applyNumberFormat="1" applyFont="1" applyBorder="1" applyAlignment="1">
      <alignment wrapText="1"/>
    </xf>
    <xf numFmtId="43" fontId="30" fillId="0" borderId="0" xfId="1" applyFont="1" applyAlignment="1">
      <alignment wrapText="1"/>
    </xf>
    <xf numFmtId="4" fontId="0" fillId="0" borderId="8" xfId="1" applyNumberFormat="1" applyFont="1" applyBorder="1" applyAlignment="1">
      <alignment wrapText="1"/>
    </xf>
    <xf numFmtId="43" fontId="24" fillId="0" borderId="8" xfId="0" applyNumberFormat="1" applyFont="1" applyBorder="1" applyAlignment="1">
      <alignment wrapText="1"/>
    </xf>
    <xf numFmtId="0" fontId="24" fillId="0" borderId="1" xfId="0" applyFont="1" applyFill="1" applyBorder="1" applyAlignment="1">
      <alignment wrapText="1"/>
    </xf>
    <xf numFmtId="0" fontId="24" fillId="0" borderId="1" xfId="1" applyNumberFormat="1" applyFont="1" applyBorder="1" applyAlignment="1">
      <alignment wrapText="1"/>
    </xf>
    <xf numFmtId="0" fontId="24" fillId="0" borderId="8" xfId="1" applyNumberFormat="1" applyFont="1" applyBorder="1" applyAlignment="1">
      <alignment wrapText="1"/>
    </xf>
    <xf numFmtId="4" fontId="24" fillId="0" borderId="8" xfId="1" applyNumberFormat="1" applyFont="1" applyBorder="1" applyAlignment="1">
      <alignment wrapText="1"/>
    </xf>
    <xf numFmtId="2" fontId="24" fillId="0" borderId="12" xfId="0" applyNumberFormat="1" applyFont="1" applyBorder="1" applyAlignment="1">
      <alignment wrapText="1"/>
    </xf>
    <xf numFmtId="0" fontId="24" fillId="0" borderId="12" xfId="0" applyFont="1" applyBorder="1" applyAlignment="1">
      <alignment wrapText="1"/>
    </xf>
    <xf numFmtId="43" fontId="24" fillId="0" borderId="12" xfId="1" applyFont="1" applyBorder="1" applyAlignment="1">
      <alignment wrapText="1"/>
    </xf>
    <xf numFmtId="43" fontId="3" fillId="0" borderId="8" xfId="0" applyNumberFormat="1" applyFont="1" applyBorder="1" applyAlignment="1">
      <alignment wrapText="1"/>
    </xf>
    <xf numFmtId="0" fontId="3" fillId="0" borderId="1" xfId="0" applyFont="1" applyFill="1" applyBorder="1" applyAlignment="1">
      <alignment wrapText="1"/>
    </xf>
    <xf numFmtId="0" fontId="3" fillId="0" borderId="8" xfId="1" applyNumberFormat="1" applyFont="1" applyBorder="1" applyAlignment="1">
      <alignment wrapText="1"/>
    </xf>
    <xf numFmtId="0" fontId="24" fillId="0" borderId="8" xfId="0" applyFont="1" applyFill="1" applyBorder="1" applyAlignment="1">
      <alignment wrapText="1"/>
    </xf>
    <xf numFmtId="0" fontId="3" fillId="0" borderId="8" xfId="0" applyFont="1" applyFill="1" applyBorder="1" applyAlignment="1">
      <alignment wrapText="1"/>
    </xf>
    <xf numFmtId="0" fontId="32" fillId="0" borderId="8" xfId="0" applyFont="1" applyBorder="1" applyAlignment="1">
      <alignment wrapText="1"/>
    </xf>
    <xf numFmtId="2" fontId="3" fillId="0" borderId="12" xfId="0" applyNumberFormat="1" applyFont="1" applyBorder="1" applyAlignment="1">
      <alignment wrapText="1"/>
    </xf>
    <xf numFmtId="0" fontId="3" fillId="0" borderId="12" xfId="0" applyFont="1" applyBorder="1" applyAlignment="1">
      <alignment wrapText="1"/>
    </xf>
    <xf numFmtId="43" fontId="3" fillId="0" borderId="12" xfId="1" applyFont="1" applyBorder="1" applyAlignment="1">
      <alignment wrapText="1"/>
    </xf>
    <xf numFmtId="43" fontId="3" fillId="0" borderId="1" xfId="1" applyFont="1" applyBorder="1" applyAlignment="1">
      <alignment wrapText="1"/>
    </xf>
    <xf numFmtId="0" fontId="3" fillId="0" borderId="1" xfId="1" applyNumberFormat="1" applyFont="1" applyBorder="1" applyAlignment="1">
      <alignment wrapText="1"/>
    </xf>
  </cellXfs>
  <cellStyles count="12">
    <cellStyle name="Comma" xfId="1" builtinId="3"/>
    <cellStyle name="Comma 2" xfId="6" xr:uid="{00000000-0005-0000-0000-000001000000}"/>
    <cellStyle name="Currency 2" xfId="3" xr:uid="{00000000-0005-0000-0000-000002000000}"/>
    <cellStyle name="Normal" xfId="0" builtinId="0"/>
    <cellStyle name="Normal 2" xfId="2" xr:uid="{00000000-0005-0000-0000-000004000000}"/>
    <cellStyle name="Normal 3" xfId="4" xr:uid="{00000000-0005-0000-0000-000005000000}"/>
    <cellStyle name="Normal 3 2" xfId="7" xr:uid="{00000000-0005-0000-0000-000006000000}"/>
    <cellStyle name="Normal 4" xfId="5" xr:uid="{00000000-0005-0000-0000-000007000000}"/>
    <cellStyle name="Normal 5" xfId="8" xr:uid="{00000000-0005-0000-0000-000008000000}"/>
    <cellStyle name="Normal 6" xfId="9" xr:uid="{2F1738C3-ADEC-4A97-8EE0-663ED95AE09F}"/>
    <cellStyle name="Normal 7" xfId="10" xr:uid="{3CAFDB79-A9FD-4AD0-8C8C-80EF31E6537D}"/>
    <cellStyle name="Normal 8" xfId="11" xr:uid="{9E704763-5DE6-44DD-AF20-F9845AED0C6C}"/>
  </cellStyles>
  <dxfs count="54">
    <dxf>
      <font>
        <b val="0"/>
        <i val="0"/>
        <strike val="0"/>
        <condense val="0"/>
        <extend val="0"/>
        <outline val="0"/>
        <shadow val="0"/>
        <u val="none"/>
        <vertAlign val="baseline"/>
        <sz val="11"/>
        <color theme="1"/>
        <name val="David"/>
        <family val="2"/>
        <scheme val="none"/>
      </font>
      <numFmt numFmtId="35" formatCode="_ * #,##0.00_ ;_ * \-#,##0.00_ ;_ * &quot;-&quot;??_ ;_ @_ "/>
    </dxf>
    <dxf>
      <font>
        <b val="0"/>
        <i val="0"/>
        <strike val="0"/>
        <u val="none"/>
        <sz val="11"/>
        <color theme="1"/>
        <name val="David"/>
      </font>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family val="2"/>
        <scheme val="none"/>
      </font>
    </dxf>
    <dxf>
      <font>
        <b val="0"/>
        <i val="0"/>
        <strike val="0"/>
        <outline val="0"/>
        <shadow val="0"/>
        <u val="none"/>
        <vertAlign val="baseline"/>
        <sz val="11"/>
        <color auto="1"/>
        <name val="David"/>
        <family val="2"/>
        <scheme val="none"/>
      </font>
    </dxf>
    <dxf>
      <alignment horizontal="center" vertical="center" textRotation="0" wrapText="0" shrinkToFit="0" readingOrder="0"/>
    </dxf>
    <dxf>
      <font>
        <b val="0"/>
        <i val="0"/>
        <strike val="0"/>
        <condense val="0"/>
        <extend val="0"/>
        <outline val="0"/>
        <shadow val="0"/>
        <u val="none"/>
        <vertAlign val="baseline"/>
        <sz val="11"/>
        <color theme="1"/>
        <name val="David"/>
        <family val="2"/>
        <scheme val="none"/>
      </font>
      <numFmt numFmtId="35" formatCode="_ * #,##0.00_ ;_ * \-#,##0.00_ ;_ * &quot;-&quot;??_ ;_ @_ "/>
    </dxf>
    <dxf>
      <font>
        <b val="0"/>
        <i val="0"/>
        <strike val="0"/>
        <u val="none"/>
        <sz val="11"/>
        <color theme="1"/>
        <name val="David"/>
      </font>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family val="2"/>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family val="2"/>
        <scheme val="none"/>
      </font>
    </dxf>
    <dxf>
      <font>
        <b val="0"/>
        <i val="0"/>
        <strike val="0"/>
        <outline val="0"/>
        <shadow val="0"/>
        <u val="none"/>
        <vertAlign val="baseline"/>
        <sz val="11"/>
        <color auto="1"/>
        <name val="David"/>
        <family val="2"/>
        <scheme val="none"/>
      </font>
    </dxf>
    <dxf>
      <alignment horizontal="center" vertical="center" textRotation="0" wrapText="0" shrinkToFit="0" readingOrder="0"/>
    </dxf>
    <dxf>
      <font>
        <b val="0"/>
        <i val="0"/>
        <strike val="0"/>
        <condense val="0"/>
        <extend val="0"/>
        <outline val="0"/>
        <shadow val="0"/>
        <u val="none"/>
        <vertAlign val="baseline"/>
        <sz val="11"/>
        <color theme="1"/>
        <name val="Arial"/>
        <family val="2"/>
        <charset val="177"/>
        <scheme val="minor"/>
      </font>
      <numFmt numFmtId="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Arial"/>
        <family val="2"/>
        <scheme val="minor"/>
      </font>
      <numFmt numFmtId="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Arial"/>
        <family val="2"/>
        <scheme val="minor"/>
      </font>
      <numFmt numFmtId="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charset val="177"/>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35" formatCode="_ * #,##0.00_ ;_ * \-#,##0.00_ ;_ * &quot;-&quot;??_ ;_ @_ "/>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5" formatCode="_ * #,##0.00_ ;_ * \-#,##0.00_ ;_ * &quot;-&quot;??_ ;_ @_ "/>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2"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2"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border outline="0">
        <top style="thin">
          <color indexed="64"/>
        </top>
      </border>
    </dxf>
    <dxf>
      <font>
        <strike val="0"/>
        <outline val="0"/>
        <shadow val="0"/>
        <u val="none"/>
        <vertAlign val="baseline"/>
        <sz val="11"/>
        <color rgb="FFFF0000"/>
        <name val="Arial"/>
        <family val="2"/>
        <scheme val="minor"/>
      </font>
    </dxf>
    <dxf>
      <font>
        <b/>
        <i val="0"/>
        <strike val="0"/>
        <condense val="0"/>
        <extend val="0"/>
        <outline val="0"/>
        <shadow val="0"/>
        <u val="none"/>
        <vertAlign val="baseline"/>
        <sz val="11"/>
        <color theme="1"/>
        <name val="Arial"/>
        <scheme val="minor"/>
      </font>
      <fill>
        <patternFill patternType="solid">
          <fgColor indexed="64"/>
          <bgColor rgb="FF00CC99"/>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35" formatCode="_ * #,##0.00_ ;_ * \-#,##0.00_ ;_ * &quot;-&quot;??_ ;_ @_ "/>
    </dxf>
    <dxf>
      <numFmt numFmtId="35" formatCode="_ * #,##0.00_ ;_ * \-#,##0.00_ ;_ * &quot;-&quot;??_ ;_ @_ "/>
    </dxf>
    <dxf>
      <alignment horizontal="center" vertical="center" textRotation="0" wrapText="1" indent="0" justifyLastLine="0" shrinkToFit="0" readingOrder="0"/>
    </dxf>
  </dxfs>
  <tableStyles count="0" defaultTableStyle="TableStyleMedium2" defaultPivotStyle="PivotStyleLight16"/>
  <colors>
    <mruColors>
      <color rgb="FFFFCC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493;&#1506;&#1491;&#1514;%20&#1495;&#1512;&#1497;&#1490;&#1497;&#1501;\&#1493;&#1506;&#1491;&#1514;%20&#1495;&#1512;&#1497;&#1490;&#1497;&#1501;%202021\&#1508;&#1506;&#1497;&#1500;&#1493;&#1514;%20&#1502;&#1493;&#1500;%20&#1493;&#1506;&#1491;&#1514;%20&#1495;&#1512;&#1497;&#1490;&#1497;&#1501;%20&#1489;&#1502;&#1513;&#1512;&#1491;%20&#1492;&#1488;&#1493;&#1510;&#1512;%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ra.v/Documents/&#1514;&#1511;&#1510;&#1497;&#1489;/&#1511;&#1493;&#1489;&#1509;%20&#1492;&#1495;&#1512;&#1490;&#1493;&#1514;%202021-%20&#1508;&#1489;&#1512;&#1493;&#1488;&#15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ira.v/Documents/&#1492;&#1502;&#1506;&#1512;&#1498;%20&#1492;&#1496;&#1499;&#1504;&#1493;&#1500;&#1493;&#1490;&#1497;/&#1502;&#1506;&#1511;&#1489;%20&#1508;&#1506;&#1497;&#1500;&#1493;&#1514;%20&#1489;&#1493;&#1491;&#1511;&#1497;&#1501;%20&#1496;&#1499;&#1504;&#1493;&#1500;&#1493;&#1490;&#1497;&#1497;&#1501;_22.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וח פניות לאוצר 2020"/>
      <sheetName val="דוח פניות לאוצר 2021"/>
      <sheetName val="פעילות מול ועדת חריגים במשרד הא"/>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s>
    <sheetDataSet>
      <sheetData sheetId="0">
        <row r="45">
          <cell r="N45">
            <v>2949415.3800000004</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שובי יתרה"/>
      <sheetName val="איסרד"/>
      <sheetName val="דוח 305"/>
      <sheetName val="דוח 103"/>
      <sheetName val="זוכי 2017"/>
      <sheetName val="זוכי 2019"/>
      <sheetName val="Excel1"/>
      <sheetName val="Excel2"/>
      <sheetName val="מכרז 04.2020"/>
      <sheetName val="מימושי אופציה יולי- 2020"/>
      <sheetName val="גיליון1"/>
      <sheetName val="גיליון1 (2)"/>
      <sheetName val="מימושי אופציה 02-21"/>
      <sheetName val="מימושי אופציה 03-21"/>
      <sheetName val="מימושי אופציה 04-21"/>
    </sheetNames>
    <sheetDataSet>
      <sheetData sheetId="0">
        <row r="21">
          <cell r="D21">
            <v>5630872.7412999999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63997C-1800-4050-9F9D-7CBEFDD21CB6}" name="טבלה3" displayName="טבלה3" ref="A1:J13" totalsRowShown="0" headerRowDxfId="53">
  <autoFilter ref="A1:J13" xr:uid="{9A2FD62C-836E-458A-8FF1-BA29131AD9D4}"/>
  <tableColumns count="10">
    <tableColumn id="1" xr3:uid="{82D8F812-B5E9-4163-8386-9DA2619627C8}" name="מספר"/>
    <tableColumn id="2" xr3:uid="{49BD07CB-94CB-4E13-B2F4-74B9B88151E8}" name="תאריך פנייה"/>
    <tableColumn id="3" xr3:uid="{1CEE62B0-5CD1-404C-8949-848BAF808EA2}" name="נושא"/>
    <tableColumn id="4" xr3:uid="{114C1525-D26B-479A-B92D-017017D16B54}" name="סכום מבוקש" dataCellStyle="Comma"/>
    <tableColumn id="5" xr3:uid="{AA82840C-118D-43D3-9302-688B3856BD78}" name="סטטוס"/>
    <tableColumn id="6" xr3:uid="{D1CAD0BA-9E84-4611-9676-1F3EE1505C6C}" name="סכום מאושר" dataCellStyle="Comma"/>
    <tableColumn id="7" xr3:uid="{888F0346-9737-44CF-A7D8-06C9EFD501F2}" name="הפרש" dataDxfId="52" dataCellStyle="Comma">
      <calculatedColumnFormula>[1]!טבלה3[[#This Row],[סכום מבוקש]]-[1]!טבלה3[[#This Row],[סכום מאושר]]</calculatedColumnFormula>
    </tableColumn>
    <tableColumn id="8" xr3:uid="{280BFF2C-C252-41CB-9CD0-42ED7D238A91}" name="הערות" dataCellStyle="Comma"/>
    <tableColumn id="9" xr3:uid="{CEA58151-C723-43AC-A3B0-C644424C91EA}" name="ניצול מתוך הפנייה " dataCellStyle="Comma"/>
    <tableColumn id="10" xr3:uid="{A779EE34-98C6-4FCF-97AD-74492996CA27}" name="יתרה לניצול " dataDxfId="51" dataCellStyle="Comma">
      <calculatedColumnFormula>טבלה3[[#This Row],[סכום מאושר]]-טבלה3[[#This Row],[ניצול מתוך הפנייה ]]</calculatedColumnFormula>
    </tableColumn>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62ACBA-0CEA-43E6-A062-9D56BF47E0A8}" name="Table1" displayName="Table1" ref="A1:O38" totalsRowCount="1" headerRowDxfId="50" totalsRowDxfId="49" totalsRowBorderDxfId="48" headerRowCellStyle="Comma">
  <autoFilter ref="A1:O37" xr:uid="{00000000-0009-0000-0100-000001000000}">
    <filterColumn colId="8">
      <filters>
        <filter val="38300196"/>
      </filters>
    </filterColumn>
  </autoFilter>
  <tableColumns count="15">
    <tableColumn id="1" xr3:uid="{3CB35F64-4895-4E43-A017-CD430BFD0AAC}" name="מועד" dataDxfId="47" totalsRowDxfId="46"/>
    <tableColumn id="2" xr3:uid="{E0EF0061-9D6E-4EA0-951A-543A78971054}" name="שם הספק " dataDxfId="45" totalsRowDxfId="44"/>
    <tableColumn id="3" xr3:uid="{B9494E87-B48A-45EB-BFE4-02C4CE5A79ED}" name="מטרת ההתקשרות " dataDxfId="43" totalsRowDxfId="42"/>
    <tableColumn id="4" xr3:uid="{AE2BF67C-A96D-48C8-81E4-15985CF61F94}" name="סכום מבוקש בש&quot;ח כולל מעמ!!" dataDxfId="41" totalsRowDxfId="40" dataCellStyle="Comma" totalsRowCellStyle="Comma"/>
    <tableColumn id="5" xr3:uid="{0D975C3F-2880-4EE3-BB57-E775998ACF5D}" name="סכום התקשרות מצטבר מול הספק (אם רלוונטי)" dataDxfId="39" totalsRowDxfId="38" dataCellStyle="Comma" totalsRowCellStyle="Comma"/>
    <tableColumn id="6" xr3:uid="{5DFC74E0-289F-44A7-B747-6D26434BF84E}" name="יתרה מתקרת ההתקשרות" dataDxfId="37" totalsRowDxfId="36"/>
    <tableColumn id="7" xr3:uid="{8C752036-2A0B-4CE3-9EE1-1EFDEC1BDD08}" name="אושר בוועדת חריגים (אם כן, לציין מס פנייה ותאריך אישור)" dataDxfId="35" totalsRowDxfId="34"/>
    <tableColumn id="8" xr3:uid="{42CB213B-9B58-46B5-A4C3-E7AC44F545E6}" name="אושר בוועדת מכרזים (אם כן, לציין תאריך דיון)" dataDxfId="33" totalsRowDxfId="32"/>
    <tableColumn id="9" xr3:uid="{C5A2CEF8-45CD-4DC3-8CEB-BA3719BB839E}" name="תקנה/ פריט התחייבות" dataDxfId="31" totalsRowDxfId="30"/>
    <tableColumn id="10" xr3:uid="{E8696322-7DB9-4E4F-8FEC-CCFC7C1E0DED}" name="שם תקנה" dataDxfId="29" totalsRowDxfId="28"/>
    <tableColumn id="11" xr3:uid="{990FCFAF-4B96-49B6-9ABC-1EC26E0D458A}" name="מרכז קרנות" dataDxfId="27" totalsRowDxfId="26"/>
    <tableColumn id="12" xr3:uid="{D2685F56-9559-4BCB-9C42-E1783937F29B}" name="שם מרכז קרנות" dataDxfId="25" totalsRowDxfId="24"/>
    <tableColumn id="16" xr3:uid="{47B6589E-02A1-4CBF-8185-5C0BFBF8E50F}" name="נוצרה/ הוגדלה התחייבות מספר" dataDxfId="23" totalsRowDxfId="22" dataCellStyle="Comma" totalsRowCellStyle="Comma"/>
    <tableColumn id="17" xr3:uid="{E8C11108-0D61-45B2-B9EC-2B58AB4CBE93}" name="שווי שורה/ הגדלה " totalsRowFunction="sum" dataDxfId="21" totalsRowDxfId="20" dataCellStyle="Comma" totalsRowCellStyle="Comma"/>
    <tableColumn id="18" xr3:uid="{357D6823-DA9C-4E5F-9140-B02D30CFCD74}" name="הפרש יתרה שלא נוצלה מהחרגה" dataDxfId="19" totalsRowDxfId="18" dataCellStyle="Comma" totalsRowCellStyle="Comma">
      <calculatedColumnFormula>D2-N2</calculatedColumnFormula>
    </tableColumn>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DE7731-6046-407F-BA8E-5DC4AA5E806E}" name="Table133232323524242424" displayName="Table133232323524242424" ref="A7:D18" totalsRowCount="1" headerRowDxfId="17">
  <autoFilter ref="A7:D17" xr:uid="{00000000-0009-0000-0100-000001000000}"/>
  <sortState xmlns:xlrd2="http://schemas.microsoft.com/office/spreadsheetml/2017/richdata2" ref="A8:D17">
    <sortCondition ref="D7:D17"/>
  </sortState>
  <tableColumns count="4">
    <tableColumn id="1" xr3:uid="{D5A15CA8-D513-49A8-A88A-BB63AA6C89F5}" name="מס" dataDxfId="16" totalsRowDxfId="15"/>
    <tableColumn id="2" xr3:uid="{1309900F-5F96-43FB-9E41-4215603716A4}" name="ספק" dataDxfId="14" totalsRowDxfId="13"/>
    <tableColumn id="3" xr3:uid="{A0212B30-8B7D-4154-83E6-3EB830A54E45}" name="נושא ההתקשרות" dataDxfId="12" totalsRowDxfId="11"/>
    <tableColumn id="4" xr3:uid="{03A846E8-F60F-43E4-AE75-53B62533B8F8}" name="סכום ההתקשרות (סכום ההתקשרות ולא סכום המזומן)" totalsRowFunction="sum" dataDxfId="10" totalsRowDxfId="9"/>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2D09D9-74D5-477D-8D96-251387E329AC}" name="Table1332323235242424242" displayName="Table1332323235242424242" ref="A7:D19" totalsRowCount="1" headerRowDxfId="8">
  <autoFilter ref="A7:D18" xr:uid="{00000000-0009-0000-0100-000001000000}"/>
  <sortState xmlns:xlrd2="http://schemas.microsoft.com/office/spreadsheetml/2017/richdata2" ref="A8:D18">
    <sortCondition ref="D7:D18"/>
  </sortState>
  <tableColumns count="4">
    <tableColumn id="1" xr3:uid="{E500102E-CA11-48CA-B8E1-609921B54EA2}" name="מס" dataDxfId="7" totalsRowDxfId="6"/>
    <tableColumn id="2" xr3:uid="{C66D7AA4-9958-475C-BA2A-749699202A0F}" name="ספק" dataDxfId="5" totalsRowDxfId="4"/>
    <tableColumn id="3" xr3:uid="{7B3E03DF-03DF-4B9E-BDFC-E48F56B6F2C2}" name="נושא ההתקשרות" dataDxfId="3" totalsRowDxfId="2"/>
    <tableColumn id="4" xr3:uid="{B1A50DBE-9D82-41BA-B737-A30A38416607}" name="סכום ההתקשרות (סכום ההתקשרות ולא סכום המזומן)" totalsRowFunction="sum" dataDxfId="1" totalsRow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8F1C-4AE6-43CF-90B9-B560C496C208}">
  <dimension ref="A1:J39"/>
  <sheetViews>
    <sheetView rightToLeft="1" zoomScale="90" zoomScaleNormal="90" workbookViewId="0">
      <pane ySplit="1" topLeftCell="A2" activePane="bottomLeft" state="frozen"/>
      <selection pane="bottomLeft" activeCell="A8" sqref="A8"/>
    </sheetView>
  </sheetViews>
  <sheetFormatPr defaultRowHeight="14.25" x14ac:dyDescent="0.2"/>
  <cols>
    <col min="2" max="2" width="12.125" customWidth="1"/>
    <col min="3" max="3" width="47.75" customWidth="1"/>
    <col min="4" max="4" width="14.875" style="19" customWidth="1"/>
    <col min="5" max="5" width="14.125" customWidth="1"/>
    <col min="6" max="6" width="14.75" style="19" bestFit="1" customWidth="1"/>
    <col min="7" max="7" width="15.875" style="19" customWidth="1"/>
    <col min="8" max="8" width="15.875" customWidth="1"/>
    <col min="9" max="9" width="12.375" bestFit="1" customWidth="1"/>
    <col min="10" max="10" width="14.125" bestFit="1" customWidth="1"/>
  </cols>
  <sheetData>
    <row r="1" spans="1:10" s="13" customFormat="1" ht="28.5" x14ac:dyDescent="0.2">
      <c r="A1" s="13" t="s">
        <v>16</v>
      </c>
      <c r="B1" s="13" t="s">
        <v>17</v>
      </c>
      <c r="C1" s="13" t="s">
        <v>18</v>
      </c>
      <c r="D1" s="20" t="s">
        <v>19</v>
      </c>
      <c r="E1" s="13" t="s">
        <v>20</v>
      </c>
      <c r="F1" s="20" t="s">
        <v>21</v>
      </c>
      <c r="G1" s="20" t="s">
        <v>23</v>
      </c>
      <c r="H1" s="13" t="s">
        <v>27</v>
      </c>
      <c r="I1" s="13" t="s">
        <v>28</v>
      </c>
      <c r="J1" s="13" t="s">
        <v>29</v>
      </c>
    </row>
    <row r="2" spans="1:10" ht="57" x14ac:dyDescent="0.2">
      <c r="A2">
        <v>34637</v>
      </c>
      <c r="B2" t="s">
        <v>25</v>
      </c>
      <c r="C2" s="18" t="s">
        <v>30</v>
      </c>
      <c r="D2" s="19">
        <v>5800000</v>
      </c>
      <c r="E2" t="s">
        <v>14</v>
      </c>
      <c r="F2" s="19">
        <v>5800000</v>
      </c>
      <c r="G2" s="19">
        <f>[1]!טבלה3[[#This Row],[סכום מבוקש]]-[1]!טבלה3[[#This Row],[סכום מאושר]]</f>
        <v>0</v>
      </c>
      <c r="H2" s="19"/>
      <c r="I2" s="19"/>
      <c r="J2" s="19">
        <f>טבלה3[[#This Row],[סכום מאושר]]-טבלה3[[#This Row],[ניצול מתוך הפנייה ]]</f>
        <v>5800000</v>
      </c>
    </row>
    <row r="3" spans="1:10" ht="28.5" x14ac:dyDescent="0.2">
      <c r="A3">
        <v>34657</v>
      </c>
      <c r="B3" t="s">
        <v>26</v>
      </c>
      <c r="C3" s="18" t="s">
        <v>31</v>
      </c>
      <c r="D3" s="19">
        <v>7500000</v>
      </c>
      <c r="E3" t="s">
        <v>14</v>
      </c>
      <c r="F3" s="19">
        <v>7500000</v>
      </c>
      <c r="G3" s="19">
        <f>[1]!טבלה3[[#This Row],[סכום מבוקש]]-[1]!טבלה3[[#This Row],[סכום מאושר]]</f>
        <v>0</v>
      </c>
      <c r="H3" s="19"/>
      <c r="I3" s="19">
        <f>'[2]2021'!$N$45</f>
        <v>2949415.3800000004</v>
      </c>
      <c r="J3" s="19">
        <f>טבלה3[[#This Row],[סכום מאושר]]-טבלה3[[#This Row],[ניצול מתוך הפנייה ]]</f>
        <v>4550584.6199999992</v>
      </c>
    </row>
    <row r="4" spans="1:10" x14ac:dyDescent="0.2">
      <c r="A4">
        <v>34803</v>
      </c>
      <c r="B4" t="s">
        <v>32</v>
      </c>
      <c r="C4" t="s">
        <v>33</v>
      </c>
      <c r="D4" s="19">
        <v>27500000</v>
      </c>
      <c r="E4" t="s">
        <v>14</v>
      </c>
      <c r="F4" s="19">
        <v>27500000</v>
      </c>
      <c r="G4" s="19">
        <f>[1]!טבלה3[[#This Row],[סכום מבוקש]]-[1]!טבלה3[[#This Row],[סכום מאושר]]</f>
        <v>0</v>
      </c>
      <c r="H4" s="19"/>
      <c r="I4" s="19">
        <f>'[3]חישובי יתרה'!$D$21</f>
        <v>5630872.7412999999</v>
      </c>
      <c r="J4" s="19">
        <f>טבלה3[[#This Row],[סכום מאושר]]-טבלה3[[#This Row],[ניצול מתוך הפנייה ]]</f>
        <v>21869127.258699998</v>
      </c>
    </row>
    <row r="5" spans="1:10" ht="42.75" x14ac:dyDescent="0.2">
      <c r="A5">
        <v>34894</v>
      </c>
      <c r="B5" t="s">
        <v>34</v>
      </c>
      <c r="C5" s="18" t="s">
        <v>35</v>
      </c>
      <c r="D5" s="19">
        <v>175500</v>
      </c>
      <c r="E5" t="s">
        <v>36</v>
      </c>
      <c r="G5" s="19">
        <f>[1]!טבלה3[[#This Row],[סכום מבוקש]]-[1]!טבלה3[[#This Row],[סכום מאושר]]</f>
        <v>175500</v>
      </c>
      <c r="H5" s="21" t="s">
        <v>37</v>
      </c>
      <c r="I5" s="19"/>
      <c r="J5" s="19">
        <f>טבלה3[[#This Row],[סכום מאושר]]-טבלה3[[#This Row],[ניצול מתוך הפנייה ]]</f>
        <v>0</v>
      </c>
    </row>
    <row r="6" spans="1:10" ht="85.5" x14ac:dyDescent="0.2">
      <c r="A6">
        <v>35092</v>
      </c>
      <c r="B6" t="s">
        <v>38</v>
      </c>
      <c r="C6" s="18" t="s">
        <v>39</v>
      </c>
      <c r="D6" s="19">
        <v>527700000</v>
      </c>
      <c r="E6" t="s">
        <v>14</v>
      </c>
      <c r="F6" s="19">
        <f>טבלה3[[#This Row],[סכום מבוקש]]</f>
        <v>527700000</v>
      </c>
      <c r="G6" s="19">
        <f>[1]!טבלה3[[#This Row],[סכום מבוקש]]-[1]!טבלה3[[#This Row],[סכום מאושר]]</f>
        <v>0</v>
      </c>
      <c r="H6" s="18" t="s">
        <v>40</v>
      </c>
      <c r="I6" s="19"/>
      <c r="J6" s="19">
        <f>טבלה3[[#This Row],[סכום מאושר]]-טבלה3[[#This Row],[ניצול מתוך הפנייה ]]</f>
        <v>527700000</v>
      </c>
    </row>
    <row r="7" spans="1:10" ht="28.5" x14ac:dyDescent="0.2">
      <c r="A7">
        <v>35254</v>
      </c>
      <c r="B7" t="s">
        <v>41</v>
      </c>
      <c r="C7" s="24" t="s">
        <v>42</v>
      </c>
      <c r="D7" s="19">
        <v>415584</v>
      </c>
      <c r="E7" t="s">
        <v>14</v>
      </c>
      <c r="F7" s="19">
        <f>טבלה3[[#This Row],[סכום מבוקש]]</f>
        <v>415584</v>
      </c>
      <c r="G7" s="19">
        <f>[1]!טבלה3[[#This Row],[סכום מבוקש]]-[1]!טבלה3[[#This Row],[סכום מאושר]]</f>
        <v>0</v>
      </c>
      <c r="H7" s="25" t="s">
        <v>43</v>
      </c>
      <c r="I7" s="19"/>
      <c r="J7" s="19">
        <f>טבלה3[[#This Row],[סכום מאושר]]-טבלה3[[#This Row],[ניצול מתוך הפנייה ]]</f>
        <v>415584</v>
      </c>
    </row>
    <row r="8" spans="1:10" ht="85.5" x14ac:dyDescent="0.2">
      <c r="A8">
        <v>35320</v>
      </c>
      <c r="B8" t="s">
        <v>44</v>
      </c>
      <c r="C8" s="24" t="s">
        <v>45</v>
      </c>
      <c r="D8" s="19">
        <v>150000</v>
      </c>
      <c r="E8" t="s">
        <v>14</v>
      </c>
      <c r="F8" s="19">
        <f>טבלה3[[#This Row],[סכום מבוקש]]</f>
        <v>150000</v>
      </c>
      <c r="G8" s="19">
        <f>[1]!טבלה3[[#This Row],[סכום מבוקש]]-[1]!טבלה3[[#This Row],[סכום מאושר]]</f>
        <v>0</v>
      </c>
      <c r="H8" s="19"/>
      <c r="I8" s="19"/>
      <c r="J8" s="19">
        <f>טבלה3[[#This Row],[סכום מאושר]]-טבלה3[[#This Row],[ניצול מתוך הפנייה ]]</f>
        <v>150000</v>
      </c>
    </row>
    <row r="9" spans="1:10" ht="28.5" x14ac:dyDescent="0.2">
      <c r="A9">
        <v>35363</v>
      </c>
      <c r="B9" t="s">
        <v>46</v>
      </c>
      <c r="C9" s="18" t="s">
        <v>47</v>
      </c>
      <c r="D9" s="19">
        <v>234000</v>
      </c>
      <c r="E9" t="s">
        <v>14</v>
      </c>
      <c r="F9" s="19">
        <f>טבלה3[[#This Row],[סכום מבוקש]]</f>
        <v>234000</v>
      </c>
      <c r="G9" s="19">
        <f>[1]!טבלה3[[#This Row],[סכום מבוקש]]-[1]!טבלה3[[#This Row],[סכום מאושר]]</f>
        <v>0</v>
      </c>
      <c r="H9" s="19"/>
      <c r="I9" s="19"/>
      <c r="J9" s="19">
        <f>טבלה3[[#This Row],[סכום מאושר]]-טבלה3[[#This Row],[ניצול מתוך הפנייה ]]</f>
        <v>234000</v>
      </c>
    </row>
    <row r="10" spans="1:10" x14ac:dyDescent="0.2">
      <c r="A10">
        <v>36094</v>
      </c>
      <c r="B10" t="s">
        <v>59</v>
      </c>
      <c r="C10" t="s">
        <v>60</v>
      </c>
      <c r="D10" s="19">
        <v>877500</v>
      </c>
      <c r="E10" t="s">
        <v>14</v>
      </c>
      <c r="F10" s="19">
        <v>877500</v>
      </c>
      <c r="G10" s="19">
        <f>[1]!טבלה3[[#This Row],[סכום מבוקש]]-[1]!טבלה3[[#This Row],[סכום מאושר]]</f>
        <v>0</v>
      </c>
      <c r="H10" s="19"/>
      <c r="I10" s="19"/>
      <c r="J10" s="19">
        <f>טבלה3[[#This Row],[סכום מאושר]]-טבלה3[[#This Row],[ניצול מתוך הפנייה ]]</f>
        <v>877500</v>
      </c>
    </row>
    <row r="11" spans="1:10" x14ac:dyDescent="0.2">
      <c r="A11" s="39">
        <v>36386</v>
      </c>
      <c r="B11" t="s">
        <v>61</v>
      </c>
      <c r="C11" t="s">
        <v>62</v>
      </c>
      <c r="D11" s="19">
        <v>526500</v>
      </c>
      <c r="E11" t="s">
        <v>65</v>
      </c>
      <c r="G11" s="19">
        <f>טבלה3[[#This Row],[סכום מבוקש]]-טבלה3[[#This Row],[סכום מאושר]]</f>
        <v>526500</v>
      </c>
      <c r="H11" s="19"/>
      <c r="I11" s="19"/>
      <c r="J11" s="19">
        <f>טבלה3[[#This Row],[סכום מאושר]]-טבלה3[[#This Row],[ניצול מתוך הפנייה ]]</f>
        <v>0</v>
      </c>
    </row>
    <row r="12" spans="1:10" ht="42.75" x14ac:dyDescent="0.2">
      <c r="A12">
        <v>36518</v>
      </c>
      <c r="B12" t="s">
        <v>63</v>
      </c>
      <c r="C12" s="18" t="s">
        <v>64</v>
      </c>
      <c r="D12" s="19">
        <v>517500000</v>
      </c>
      <c r="E12" t="s">
        <v>14</v>
      </c>
      <c r="F12" s="19">
        <v>517500000</v>
      </c>
      <c r="G12" s="19">
        <f>טבלה3[[#This Row],[סכום מבוקש]]-טבלה3[[#This Row],[סכום מאושר]]</f>
        <v>0</v>
      </c>
      <c r="H12" s="19"/>
      <c r="I12" s="19"/>
      <c r="J12" s="19">
        <f>טבלה3[[#This Row],[סכום מאושר]]-טבלה3[[#This Row],[ניצול מתוך הפנייה ]]</f>
        <v>517500000</v>
      </c>
    </row>
    <row r="13" spans="1:10" x14ac:dyDescent="0.2">
      <c r="A13" s="39">
        <v>36815</v>
      </c>
      <c r="B13" t="s">
        <v>76</v>
      </c>
      <c r="C13" t="s">
        <v>77</v>
      </c>
      <c r="D13" s="19">
        <v>750000</v>
      </c>
      <c r="E13" t="s">
        <v>14</v>
      </c>
      <c r="F13" s="19">
        <v>750000</v>
      </c>
      <c r="G13" s="19">
        <v>0</v>
      </c>
      <c r="H13" s="19"/>
      <c r="I13" s="19">
        <v>625000</v>
      </c>
      <c r="J13" s="42">
        <f>טבלה3[[#This Row],[סכום מאושר]]-טבלה3[[#This Row],[ניצול מתוך הפנייה ]]</f>
        <v>125000</v>
      </c>
    </row>
    <row r="14" spans="1:10" x14ac:dyDescent="0.2">
      <c r="H14" s="19"/>
      <c r="I14" s="19"/>
      <c r="J14" s="19"/>
    </row>
    <row r="15" spans="1:10" x14ac:dyDescent="0.2">
      <c r="H15" s="19"/>
      <c r="I15" s="19"/>
      <c r="J15" s="19"/>
    </row>
    <row r="16" spans="1:10" x14ac:dyDescent="0.2">
      <c r="H16" s="19"/>
      <c r="I16" s="19"/>
      <c r="J16" s="19"/>
    </row>
    <row r="17" spans="8:10" x14ac:dyDescent="0.2">
      <c r="H17" s="19"/>
      <c r="I17" s="19"/>
      <c r="J17" s="19"/>
    </row>
    <row r="18" spans="8:10" x14ac:dyDescent="0.2">
      <c r="H18" s="19"/>
      <c r="I18" s="19"/>
      <c r="J18" s="19"/>
    </row>
    <row r="19" spans="8:10" x14ac:dyDescent="0.2">
      <c r="H19" s="19"/>
      <c r="I19" s="19"/>
      <c r="J19" s="19"/>
    </row>
    <row r="20" spans="8:10" x14ac:dyDescent="0.2">
      <c r="H20" s="19"/>
      <c r="I20" s="19"/>
      <c r="J20" s="19"/>
    </row>
    <row r="21" spans="8:10" x14ac:dyDescent="0.2">
      <c r="H21" s="19"/>
      <c r="I21" s="19"/>
      <c r="J21" s="19"/>
    </row>
    <row r="22" spans="8:10" x14ac:dyDescent="0.2">
      <c r="H22" s="19"/>
      <c r="I22" s="19"/>
      <c r="J22" s="19"/>
    </row>
    <row r="23" spans="8:10" x14ac:dyDescent="0.2">
      <c r="H23" s="19"/>
      <c r="I23" s="19"/>
      <c r="J23" s="19"/>
    </row>
    <row r="24" spans="8:10" x14ac:dyDescent="0.2">
      <c r="H24" s="19"/>
      <c r="I24" s="19"/>
      <c r="J24" s="19"/>
    </row>
    <row r="25" spans="8:10" x14ac:dyDescent="0.2">
      <c r="H25" s="19"/>
      <c r="I25" s="19"/>
      <c r="J25" s="19"/>
    </row>
    <row r="26" spans="8:10" x14ac:dyDescent="0.2">
      <c r="H26" s="19"/>
      <c r="I26" s="19"/>
      <c r="J26" s="19"/>
    </row>
    <row r="27" spans="8:10" x14ac:dyDescent="0.2">
      <c r="H27" s="19"/>
      <c r="I27" s="19"/>
      <c r="J27" s="19"/>
    </row>
    <row r="28" spans="8:10" x14ac:dyDescent="0.2">
      <c r="H28" s="19"/>
      <c r="I28" s="19"/>
      <c r="J28" s="19"/>
    </row>
    <row r="29" spans="8:10" x14ac:dyDescent="0.2">
      <c r="H29" s="19"/>
      <c r="I29" s="19"/>
      <c r="J29" s="19"/>
    </row>
    <row r="30" spans="8:10" x14ac:dyDescent="0.2">
      <c r="H30" s="19"/>
      <c r="I30" s="19"/>
      <c r="J30" s="19"/>
    </row>
    <row r="31" spans="8:10" x14ac:dyDescent="0.2">
      <c r="H31" s="19"/>
      <c r="I31" s="19"/>
      <c r="J31" s="19"/>
    </row>
    <row r="32" spans="8:10" x14ac:dyDescent="0.2">
      <c r="H32" s="19"/>
      <c r="I32" s="19"/>
      <c r="J32" s="19"/>
    </row>
    <row r="33" spans="8:10" x14ac:dyDescent="0.2">
      <c r="H33" s="19"/>
      <c r="I33" s="19"/>
      <c r="J33" s="19"/>
    </row>
    <row r="34" spans="8:10" x14ac:dyDescent="0.2">
      <c r="H34" s="19"/>
      <c r="I34" s="19"/>
      <c r="J34" s="19"/>
    </row>
    <row r="35" spans="8:10" x14ac:dyDescent="0.2">
      <c r="H35" s="19"/>
      <c r="I35" s="19"/>
      <c r="J35" s="19"/>
    </row>
    <row r="36" spans="8:10" x14ac:dyDescent="0.2">
      <c r="H36" s="19"/>
      <c r="I36" s="19"/>
      <c r="J36" s="19"/>
    </row>
    <row r="37" spans="8:10" x14ac:dyDescent="0.2">
      <c r="H37" s="19"/>
      <c r="I37" s="19"/>
      <c r="J37" s="19"/>
    </row>
    <row r="38" spans="8:10" x14ac:dyDescent="0.2">
      <c r="H38" s="19"/>
      <c r="I38" s="19"/>
      <c r="J38" s="19"/>
    </row>
    <row r="39" spans="8:10" x14ac:dyDescent="0.2">
      <c r="H39" s="19"/>
      <c r="I39" s="19"/>
      <c r="J39" s="19"/>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BB60-0788-411A-A865-B6DC3405723E}">
  <dimension ref="A1:R38"/>
  <sheetViews>
    <sheetView rightToLeft="1" zoomScale="80" zoomScaleNormal="80" workbookViewId="0">
      <pane ySplit="1" topLeftCell="A2" activePane="bottomLeft" state="frozen"/>
      <selection pane="bottomLeft" activeCell="N38" sqref="N38"/>
    </sheetView>
  </sheetViews>
  <sheetFormatPr defaultColWidth="9" defaultRowHeight="14.25" x14ac:dyDescent="0.2"/>
  <cols>
    <col min="1" max="1" width="6.875" style="36" customWidth="1"/>
    <col min="2" max="2" width="22.5" style="18" customWidth="1"/>
    <col min="3" max="3" width="31.5" style="18" customWidth="1"/>
    <col min="4" max="4" width="15.75" style="21" customWidth="1"/>
    <col min="5" max="5" width="15.125" style="21" customWidth="1"/>
    <col min="6" max="6" width="12.625" style="18" customWidth="1"/>
    <col min="7" max="7" width="16.25" style="18" customWidth="1"/>
    <col min="8" max="12" width="18.75" style="18" customWidth="1"/>
    <col min="13" max="13" width="21.125" style="69" bestFit="1" customWidth="1"/>
    <col min="14" max="14" width="14" style="82" bestFit="1" customWidth="1"/>
    <col min="15" max="15" width="18" style="35" bestFit="1" customWidth="1"/>
    <col min="16" max="17" width="13.5" style="18" hidden="1" customWidth="1"/>
    <col min="18" max="18" width="11.375" style="18" hidden="1" customWidth="1"/>
    <col min="19" max="16384" width="9" style="18"/>
  </cols>
  <sheetData>
    <row r="1" spans="1:18" s="34" customFormat="1" ht="45" x14ac:dyDescent="0.2">
      <c r="A1" s="29" t="s">
        <v>75</v>
      </c>
      <c r="B1" s="30" t="s">
        <v>6</v>
      </c>
      <c r="C1" s="31" t="s">
        <v>48</v>
      </c>
      <c r="D1" s="32" t="s">
        <v>7</v>
      </c>
      <c r="E1" s="32" t="s">
        <v>49</v>
      </c>
      <c r="F1" s="31" t="s">
        <v>50</v>
      </c>
      <c r="G1" s="31" t="s">
        <v>51</v>
      </c>
      <c r="H1" s="31" t="s">
        <v>52</v>
      </c>
      <c r="I1" s="31" t="s">
        <v>8</v>
      </c>
      <c r="J1" s="31" t="s">
        <v>9</v>
      </c>
      <c r="K1" s="31" t="s">
        <v>10</v>
      </c>
      <c r="L1" s="31" t="s">
        <v>11</v>
      </c>
      <c r="M1" s="66" t="s">
        <v>53</v>
      </c>
      <c r="N1" s="78" t="s">
        <v>54</v>
      </c>
      <c r="O1" s="33" t="s">
        <v>55</v>
      </c>
      <c r="P1" s="34" t="s">
        <v>56</v>
      </c>
      <c r="Q1" s="34" t="s">
        <v>57</v>
      </c>
      <c r="R1" s="34" t="s">
        <v>58</v>
      </c>
    </row>
    <row r="2" spans="1:18" s="65" customFormat="1" ht="28.5" hidden="1" x14ac:dyDescent="0.2">
      <c r="A2" s="58">
        <v>3.1</v>
      </c>
      <c r="B2" s="59" t="s">
        <v>89</v>
      </c>
      <c r="C2" s="59" t="s">
        <v>90</v>
      </c>
      <c r="D2" s="60">
        <f t="shared" ref="D2" si="0">4149.66*4.1</f>
        <v>17013.605999999996</v>
      </c>
      <c r="E2" s="61"/>
      <c r="F2" s="62"/>
      <c r="G2" s="59" t="s">
        <v>91</v>
      </c>
      <c r="H2" s="59"/>
      <c r="I2" s="63"/>
      <c r="J2" s="63"/>
      <c r="K2" s="63"/>
      <c r="L2" s="63"/>
      <c r="M2" s="67"/>
      <c r="N2" s="79"/>
      <c r="O2" s="64">
        <f t="shared" ref="O2:O37" si="1">D2-N2</f>
        <v>17013.605999999996</v>
      </c>
    </row>
    <row r="3" spans="1:18" s="48" customFormat="1" ht="28.5" hidden="1" x14ac:dyDescent="0.2">
      <c r="A3" s="44">
        <v>5.0999999999999996</v>
      </c>
      <c r="B3" s="45" t="s">
        <v>92</v>
      </c>
      <c r="C3" s="45" t="s">
        <v>93</v>
      </c>
      <c r="D3" s="46">
        <v>750000</v>
      </c>
      <c r="E3" s="46"/>
      <c r="F3" s="84"/>
      <c r="G3" s="45" t="s">
        <v>94</v>
      </c>
      <c r="H3" s="45"/>
      <c r="I3" s="85">
        <v>38300191</v>
      </c>
      <c r="J3" s="85" t="s">
        <v>12</v>
      </c>
      <c r="K3" s="85">
        <v>3690112</v>
      </c>
      <c r="L3" s="85" t="s">
        <v>22</v>
      </c>
      <c r="M3" s="87">
        <v>4501692444</v>
      </c>
      <c r="N3" s="88">
        <v>625000</v>
      </c>
      <c r="O3" s="47">
        <f t="shared" si="1"/>
        <v>125000</v>
      </c>
      <c r="P3" s="18"/>
      <c r="Q3" s="18"/>
      <c r="R3" s="18"/>
    </row>
    <row r="4" spans="1:18" hidden="1" x14ac:dyDescent="0.2">
      <c r="A4" s="38">
        <v>6.1</v>
      </c>
      <c r="B4" s="26" t="s">
        <v>95</v>
      </c>
      <c r="C4" s="26" t="s">
        <v>96</v>
      </c>
      <c r="D4" s="27">
        <f>27729*1.17</f>
        <v>32442.929999999997</v>
      </c>
      <c r="E4" s="27"/>
      <c r="F4" s="28"/>
      <c r="G4" s="26"/>
      <c r="H4" s="26" t="s">
        <v>97</v>
      </c>
      <c r="I4" s="57"/>
      <c r="J4" s="57"/>
      <c r="K4" s="57"/>
      <c r="L4" s="57"/>
      <c r="M4" s="68">
        <v>4501774319</v>
      </c>
      <c r="N4" s="80"/>
      <c r="O4" s="43">
        <f t="shared" si="1"/>
        <v>32442.929999999997</v>
      </c>
    </row>
    <row r="5" spans="1:18" s="48" customFormat="1" ht="42.75" hidden="1" x14ac:dyDescent="0.2">
      <c r="A5" s="44">
        <v>6.1</v>
      </c>
      <c r="B5" s="45" t="s">
        <v>98</v>
      </c>
      <c r="C5" s="45" t="s">
        <v>99</v>
      </c>
      <c r="D5" s="46">
        <v>25000000</v>
      </c>
      <c r="E5" s="46" t="s">
        <v>100</v>
      </c>
      <c r="F5" s="84"/>
      <c r="G5" s="45"/>
      <c r="H5" s="45"/>
      <c r="I5" s="85">
        <v>38300191</v>
      </c>
      <c r="J5" s="85" t="s">
        <v>12</v>
      </c>
      <c r="K5" s="85">
        <v>36901092</v>
      </c>
      <c r="L5" s="85" t="s">
        <v>101</v>
      </c>
      <c r="M5" s="87">
        <v>4502075600</v>
      </c>
      <c r="N5" s="88">
        <v>66569.38</v>
      </c>
      <c r="O5" s="47">
        <f t="shared" si="1"/>
        <v>24933430.620000001</v>
      </c>
      <c r="P5" s="18"/>
      <c r="Q5" s="18"/>
      <c r="R5" s="18"/>
    </row>
    <row r="6" spans="1:18" s="48" customFormat="1" hidden="1" x14ac:dyDescent="0.2">
      <c r="A6" s="44">
        <v>6.1</v>
      </c>
      <c r="B6" s="45" t="s">
        <v>102</v>
      </c>
      <c r="C6" s="45" t="s">
        <v>103</v>
      </c>
      <c r="D6" s="46">
        <v>3686</v>
      </c>
      <c r="E6" s="50"/>
      <c r="F6" s="84"/>
      <c r="G6" s="49"/>
      <c r="H6" s="49"/>
      <c r="I6" s="85">
        <v>38300191</v>
      </c>
      <c r="J6" s="85" t="s">
        <v>12</v>
      </c>
      <c r="K6" s="85">
        <v>3690112</v>
      </c>
      <c r="L6" s="85" t="s">
        <v>22</v>
      </c>
      <c r="M6" s="86">
        <v>4502077566</v>
      </c>
      <c r="N6" s="47">
        <v>8218.7900000000009</v>
      </c>
      <c r="O6" s="47">
        <f t="shared" si="1"/>
        <v>-4532.7900000000009</v>
      </c>
      <c r="P6" s="18"/>
      <c r="Q6" s="18"/>
      <c r="R6" s="18"/>
    </row>
    <row r="7" spans="1:18" s="48" customFormat="1" hidden="1" x14ac:dyDescent="0.2">
      <c r="A7" s="44">
        <v>6.1</v>
      </c>
      <c r="B7" s="90" t="s">
        <v>104</v>
      </c>
      <c r="C7" s="90" t="s">
        <v>105</v>
      </c>
      <c r="D7" s="91">
        <v>10530</v>
      </c>
      <c r="E7" s="46"/>
      <c r="F7" s="84"/>
      <c r="G7" s="45"/>
      <c r="H7" s="45"/>
      <c r="I7" s="85">
        <v>38300191</v>
      </c>
      <c r="J7" s="85" t="s">
        <v>12</v>
      </c>
      <c r="K7" s="85">
        <v>3690112</v>
      </c>
      <c r="L7" s="85" t="s">
        <v>22</v>
      </c>
      <c r="M7" s="87">
        <v>4502077583</v>
      </c>
      <c r="N7" s="88">
        <v>10530</v>
      </c>
      <c r="O7" s="47">
        <f t="shared" si="1"/>
        <v>0</v>
      </c>
      <c r="P7" s="18"/>
      <c r="Q7" s="18"/>
      <c r="R7" s="18"/>
    </row>
    <row r="8" spans="1:18" s="48" customFormat="1" hidden="1" x14ac:dyDescent="0.2">
      <c r="A8" s="44">
        <v>11.1</v>
      </c>
      <c r="B8" s="45" t="s">
        <v>106</v>
      </c>
      <c r="C8" s="45" t="s">
        <v>107</v>
      </c>
      <c r="D8" s="46">
        <v>28641.599999999999</v>
      </c>
      <c r="E8" s="46"/>
      <c r="F8" s="84"/>
      <c r="G8" s="45"/>
      <c r="H8" s="45"/>
      <c r="I8" s="85">
        <v>38300191</v>
      </c>
      <c r="J8" s="85" t="s">
        <v>12</v>
      </c>
      <c r="K8" s="85">
        <v>36901023</v>
      </c>
      <c r="L8" s="85" t="s">
        <v>68</v>
      </c>
      <c r="M8" s="87">
        <v>4502077921</v>
      </c>
      <c r="N8" s="88">
        <v>28641.599999999999</v>
      </c>
      <c r="O8" s="47">
        <f t="shared" si="1"/>
        <v>0</v>
      </c>
      <c r="P8" s="18"/>
      <c r="Q8" s="18"/>
      <c r="R8" s="18"/>
    </row>
    <row r="9" spans="1:18" s="55" customFormat="1" hidden="1" x14ac:dyDescent="0.2">
      <c r="A9" s="51">
        <v>11.1</v>
      </c>
      <c r="B9" s="52" t="s">
        <v>108</v>
      </c>
      <c r="C9" s="52" t="s">
        <v>109</v>
      </c>
      <c r="D9" s="37">
        <v>58.5</v>
      </c>
      <c r="E9" s="37"/>
      <c r="F9" s="92"/>
      <c r="G9" s="52"/>
      <c r="H9" s="52"/>
      <c r="I9" s="85">
        <v>38300191</v>
      </c>
      <c r="J9" s="93" t="s">
        <v>12</v>
      </c>
      <c r="K9" s="85">
        <v>36901024</v>
      </c>
      <c r="L9" s="93" t="s">
        <v>13</v>
      </c>
      <c r="M9" s="94">
        <v>4502078039</v>
      </c>
      <c r="N9" s="88">
        <v>58.5</v>
      </c>
      <c r="O9" s="54">
        <f t="shared" si="1"/>
        <v>0</v>
      </c>
      <c r="P9" s="18"/>
      <c r="Q9" s="18"/>
      <c r="R9" s="18"/>
    </row>
    <row r="10" spans="1:18" s="48" customFormat="1" ht="28.5" hidden="1" x14ac:dyDescent="0.2">
      <c r="A10" s="44">
        <v>11.1</v>
      </c>
      <c r="B10" s="45" t="s">
        <v>110</v>
      </c>
      <c r="C10" s="45" t="s">
        <v>67</v>
      </c>
      <c r="D10" s="46">
        <v>19936.8</v>
      </c>
      <c r="E10" s="50"/>
      <c r="F10" s="84"/>
      <c r="G10" s="49"/>
      <c r="H10" s="49"/>
      <c r="I10" s="85">
        <v>38300121</v>
      </c>
      <c r="J10" s="85" t="s">
        <v>73</v>
      </c>
      <c r="K10" s="85">
        <v>3690103</v>
      </c>
      <c r="L10" s="85" t="s">
        <v>74</v>
      </c>
      <c r="M10" s="86">
        <v>4502078365</v>
      </c>
      <c r="N10" s="47">
        <v>19936.8</v>
      </c>
      <c r="O10" s="47">
        <f t="shared" si="1"/>
        <v>0</v>
      </c>
      <c r="P10" s="18"/>
      <c r="Q10" s="18"/>
      <c r="R10" s="18"/>
    </row>
    <row r="11" spans="1:18" s="48" customFormat="1" ht="28.5" hidden="1" x14ac:dyDescent="0.2">
      <c r="A11" s="44">
        <v>12.1</v>
      </c>
      <c r="B11" s="45" t="s">
        <v>111</v>
      </c>
      <c r="C11" s="45" t="s">
        <v>112</v>
      </c>
      <c r="D11" s="46">
        <f>(29600*2)*1.17</f>
        <v>69264</v>
      </c>
      <c r="E11" s="46"/>
      <c r="F11" s="84"/>
      <c r="G11" s="45"/>
      <c r="H11" s="45" t="s">
        <v>113</v>
      </c>
      <c r="I11" s="85">
        <v>38300191</v>
      </c>
      <c r="J11" s="85" t="s">
        <v>12</v>
      </c>
      <c r="K11" s="85">
        <v>36901021</v>
      </c>
      <c r="L11" s="85" t="s">
        <v>15</v>
      </c>
      <c r="M11" s="87">
        <v>4502030601</v>
      </c>
      <c r="N11" s="88">
        <v>69264</v>
      </c>
      <c r="O11" s="47">
        <f t="shared" si="1"/>
        <v>0</v>
      </c>
      <c r="P11" s="18"/>
      <c r="Q11" s="18"/>
      <c r="R11" s="18"/>
    </row>
    <row r="12" spans="1:18" s="48" customFormat="1" hidden="1" x14ac:dyDescent="0.2">
      <c r="A12" s="44">
        <v>12.1</v>
      </c>
      <c r="B12" s="45" t="s">
        <v>114</v>
      </c>
      <c r="C12" s="45" t="s">
        <v>115</v>
      </c>
      <c r="D12" s="46">
        <v>14000</v>
      </c>
      <c r="E12" s="46" t="s">
        <v>116</v>
      </c>
      <c r="F12" s="84"/>
      <c r="G12" s="45"/>
      <c r="H12" s="45" t="s">
        <v>117</v>
      </c>
      <c r="I12" s="85">
        <v>38300191</v>
      </c>
      <c r="J12" s="85" t="s">
        <v>12</v>
      </c>
      <c r="K12" s="85">
        <v>36901021</v>
      </c>
      <c r="L12" s="85" t="s">
        <v>15</v>
      </c>
      <c r="M12" s="87">
        <v>4501944125</v>
      </c>
      <c r="N12" s="88">
        <f>14000*3.2</f>
        <v>44800</v>
      </c>
      <c r="O12" s="47">
        <f t="shared" si="1"/>
        <v>-30800</v>
      </c>
      <c r="P12" s="18"/>
      <c r="Q12" s="18"/>
      <c r="R12" s="18"/>
    </row>
    <row r="13" spans="1:18" s="55" customFormat="1" hidden="1" x14ac:dyDescent="0.2">
      <c r="A13" s="51">
        <v>12.1</v>
      </c>
      <c r="B13" s="52" t="s">
        <v>118</v>
      </c>
      <c r="C13" s="52" t="s">
        <v>119</v>
      </c>
      <c r="D13" s="37">
        <v>2106</v>
      </c>
      <c r="E13" s="37"/>
      <c r="F13" s="92"/>
      <c r="G13" s="52"/>
      <c r="H13" s="52"/>
      <c r="I13" s="95">
        <v>38300191</v>
      </c>
      <c r="J13" s="96" t="s">
        <v>12</v>
      </c>
      <c r="K13" s="95">
        <v>36901024</v>
      </c>
      <c r="L13" s="96" t="s">
        <v>13</v>
      </c>
      <c r="M13" s="94">
        <v>4502078843</v>
      </c>
      <c r="N13" s="88">
        <v>2106</v>
      </c>
      <c r="O13" s="54">
        <f t="shared" si="1"/>
        <v>0</v>
      </c>
      <c r="P13" s="18"/>
      <c r="Q13" s="18"/>
      <c r="R13" s="18"/>
    </row>
    <row r="14" spans="1:18" s="48" customFormat="1" hidden="1" x14ac:dyDescent="0.2">
      <c r="A14" s="44">
        <v>12.1</v>
      </c>
      <c r="B14" s="45" t="s">
        <v>120</v>
      </c>
      <c r="C14" s="45" t="s">
        <v>121</v>
      </c>
      <c r="D14" s="46">
        <v>35100</v>
      </c>
      <c r="E14" s="46"/>
      <c r="F14" s="84"/>
      <c r="G14" s="45"/>
      <c r="H14" s="45" t="s">
        <v>117</v>
      </c>
      <c r="I14" s="85">
        <v>38300191</v>
      </c>
      <c r="J14" s="85" t="s">
        <v>12</v>
      </c>
      <c r="K14" s="85">
        <v>3690112</v>
      </c>
      <c r="L14" s="85" t="s">
        <v>22</v>
      </c>
      <c r="M14" s="87">
        <v>4502078642</v>
      </c>
      <c r="N14" s="88">
        <v>35100</v>
      </c>
      <c r="O14" s="47">
        <f t="shared" si="1"/>
        <v>0</v>
      </c>
      <c r="P14" s="18"/>
      <c r="Q14" s="18"/>
      <c r="R14" s="18"/>
    </row>
    <row r="15" spans="1:18" s="48" customFormat="1" ht="28.5" hidden="1" x14ac:dyDescent="0.2">
      <c r="A15" s="44">
        <v>12.1</v>
      </c>
      <c r="B15" s="45" t="s">
        <v>122</v>
      </c>
      <c r="C15" s="45" t="s">
        <v>123</v>
      </c>
      <c r="D15" s="46">
        <v>150000</v>
      </c>
      <c r="E15" s="46"/>
      <c r="F15" s="84"/>
      <c r="G15" s="45" t="s">
        <v>124</v>
      </c>
      <c r="H15" s="45"/>
      <c r="I15" s="85">
        <v>38300191</v>
      </c>
      <c r="J15" s="85" t="s">
        <v>12</v>
      </c>
      <c r="K15" s="85">
        <v>3690113</v>
      </c>
      <c r="L15" s="85" t="s">
        <v>125</v>
      </c>
      <c r="M15" s="87">
        <v>4502079304</v>
      </c>
      <c r="N15" s="88">
        <v>100000</v>
      </c>
      <c r="O15" s="47">
        <f t="shared" si="1"/>
        <v>50000</v>
      </c>
      <c r="P15" s="18"/>
      <c r="Q15" s="18"/>
      <c r="R15" s="18"/>
    </row>
    <row r="16" spans="1:18" s="55" customFormat="1" hidden="1" x14ac:dyDescent="0.2">
      <c r="A16" s="51">
        <v>13.1</v>
      </c>
      <c r="B16" s="52" t="s">
        <v>126</v>
      </c>
      <c r="C16" s="52" t="s">
        <v>127</v>
      </c>
      <c r="D16" s="37">
        <f>12240*1.17</f>
        <v>14320.8</v>
      </c>
      <c r="E16" s="37"/>
      <c r="F16" s="92"/>
      <c r="G16" s="52"/>
      <c r="H16" s="52"/>
      <c r="I16" s="95">
        <v>38300191</v>
      </c>
      <c r="J16" s="96" t="s">
        <v>12</v>
      </c>
      <c r="K16" s="95">
        <v>36901024</v>
      </c>
      <c r="L16" s="96" t="s">
        <v>13</v>
      </c>
      <c r="M16" s="94">
        <v>4502081008</v>
      </c>
      <c r="N16" s="88">
        <v>14320.8</v>
      </c>
      <c r="O16" s="54">
        <f t="shared" si="1"/>
        <v>0</v>
      </c>
      <c r="P16" s="18"/>
      <c r="Q16" s="18"/>
      <c r="R16" s="18"/>
    </row>
    <row r="17" spans="1:18" s="55" customFormat="1" ht="30" hidden="1" x14ac:dyDescent="0.25">
      <c r="A17" s="51">
        <v>13.1</v>
      </c>
      <c r="B17" s="52" t="s">
        <v>128</v>
      </c>
      <c r="C17" s="45" t="s">
        <v>175</v>
      </c>
      <c r="D17" s="37">
        <v>12987</v>
      </c>
      <c r="E17" s="37"/>
      <c r="F17" s="92"/>
      <c r="G17" s="52"/>
      <c r="H17" s="52"/>
      <c r="I17" s="95">
        <v>38300191</v>
      </c>
      <c r="J17" s="96" t="s">
        <v>12</v>
      </c>
      <c r="K17" s="95">
        <v>36901024</v>
      </c>
      <c r="L17" s="96" t="s">
        <v>13</v>
      </c>
      <c r="M17" s="94">
        <v>4502080742</v>
      </c>
      <c r="N17" s="88">
        <v>12987</v>
      </c>
      <c r="O17" s="54">
        <f t="shared" si="1"/>
        <v>0</v>
      </c>
      <c r="P17" s="18"/>
      <c r="Q17" s="18"/>
      <c r="R17" s="18"/>
    </row>
    <row r="18" spans="1:18" s="48" customFormat="1" hidden="1" x14ac:dyDescent="0.2">
      <c r="A18" s="44">
        <v>13.1</v>
      </c>
      <c r="B18" s="45" t="s">
        <v>129</v>
      </c>
      <c r="C18" s="45" t="s">
        <v>130</v>
      </c>
      <c r="D18" s="46">
        <v>50000</v>
      </c>
      <c r="E18" s="46"/>
      <c r="F18" s="84"/>
      <c r="G18" s="45"/>
      <c r="H18" s="45" t="s">
        <v>117</v>
      </c>
      <c r="I18" s="85">
        <v>38300191</v>
      </c>
      <c r="J18" s="85" t="s">
        <v>12</v>
      </c>
      <c r="K18" s="85">
        <v>36901101</v>
      </c>
      <c r="L18" s="85" t="s">
        <v>131</v>
      </c>
      <c r="M18" s="87">
        <v>4501980766</v>
      </c>
      <c r="N18" s="88">
        <v>50000</v>
      </c>
      <c r="O18" s="47">
        <f t="shared" si="1"/>
        <v>0</v>
      </c>
      <c r="P18" s="18"/>
      <c r="Q18" s="18"/>
      <c r="R18" s="18"/>
    </row>
    <row r="19" spans="1:18" s="48" customFormat="1" ht="85.5" hidden="1" x14ac:dyDescent="0.2">
      <c r="A19" s="44">
        <v>17.100000000000001</v>
      </c>
      <c r="B19" s="45" t="s">
        <v>132</v>
      </c>
      <c r="C19" s="45" t="s">
        <v>133</v>
      </c>
      <c r="D19" s="46">
        <v>275181.53999999998</v>
      </c>
      <c r="E19" s="46"/>
      <c r="F19" s="84"/>
      <c r="G19" s="45"/>
      <c r="H19" s="45" t="s">
        <v>134</v>
      </c>
      <c r="I19" s="85">
        <v>38300191</v>
      </c>
      <c r="J19" s="85" t="s">
        <v>12</v>
      </c>
      <c r="K19" s="85">
        <v>36901021</v>
      </c>
      <c r="L19" s="85" t="s">
        <v>15</v>
      </c>
      <c r="M19" s="87">
        <v>4502080595</v>
      </c>
      <c r="N19" s="88">
        <v>275181.53999999998</v>
      </c>
      <c r="O19" s="47">
        <f t="shared" si="1"/>
        <v>0</v>
      </c>
      <c r="P19" s="18"/>
      <c r="Q19" s="18"/>
      <c r="R19" s="18"/>
    </row>
    <row r="20" spans="1:18" s="55" customFormat="1" ht="28.5" hidden="1" x14ac:dyDescent="0.2">
      <c r="A20" s="51">
        <v>18.100000000000001</v>
      </c>
      <c r="B20" s="52" t="s">
        <v>135</v>
      </c>
      <c r="C20" s="97" t="s">
        <v>136</v>
      </c>
      <c r="D20" s="37">
        <f>8000*1.17</f>
        <v>9360</v>
      </c>
      <c r="E20" s="37"/>
      <c r="F20" s="92"/>
      <c r="G20" s="52"/>
      <c r="H20" s="52"/>
      <c r="I20" s="95">
        <v>38300191</v>
      </c>
      <c r="J20" s="96" t="s">
        <v>12</v>
      </c>
      <c r="K20" s="95">
        <v>36901024</v>
      </c>
      <c r="L20" s="96" t="s">
        <v>13</v>
      </c>
      <c r="M20" s="94">
        <v>4502084733</v>
      </c>
      <c r="N20" s="88">
        <v>9360</v>
      </c>
      <c r="O20" s="54">
        <f t="shared" si="1"/>
        <v>0</v>
      </c>
      <c r="P20" s="18"/>
      <c r="Q20" s="18"/>
      <c r="R20" s="18"/>
    </row>
    <row r="21" spans="1:18" s="48" customFormat="1" ht="28.5" hidden="1" x14ac:dyDescent="0.2">
      <c r="A21" s="44">
        <v>19.100000000000001</v>
      </c>
      <c r="B21" s="45" t="s">
        <v>132</v>
      </c>
      <c r="C21" s="45" t="s">
        <v>137</v>
      </c>
      <c r="D21" s="46">
        <f>(4980*3.32)*1.17</f>
        <v>19344.311999999998</v>
      </c>
      <c r="E21" s="50"/>
      <c r="F21" s="84"/>
      <c r="G21" s="49"/>
      <c r="H21" s="49" t="s">
        <v>117</v>
      </c>
      <c r="I21" s="85">
        <v>38300191</v>
      </c>
      <c r="J21" s="85" t="s">
        <v>12</v>
      </c>
      <c r="K21" s="85">
        <v>36901021</v>
      </c>
      <c r="L21" s="85" t="s">
        <v>15</v>
      </c>
      <c r="M21" s="86">
        <v>4502082009</v>
      </c>
      <c r="N21" s="47">
        <v>18819.45</v>
      </c>
      <c r="O21" s="47">
        <f t="shared" si="1"/>
        <v>524.86199999999735</v>
      </c>
      <c r="P21" s="18"/>
      <c r="Q21" s="18"/>
      <c r="R21" s="18"/>
    </row>
    <row r="22" spans="1:18" s="48" customFormat="1" hidden="1" x14ac:dyDescent="0.2">
      <c r="A22" s="44">
        <v>19.100000000000001</v>
      </c>
      <c r="B22" s="90" t="s">
        <v>138</v>
      </c>
      <c r="C22" s="90" t="s">
        <v>139</v>
      </c>
      <c r="D22" s="91">
        <f>2136.7*1.17</f>
        <v>2499.9389999999999</v>
      </c>
      <c r="E22" s="50"/>
      <c r="F22" s="84"/>
      <c r="G22" s="49"/>
      <c r="H22" s="49"/>
      <c r="I22" s="85">
        <v>38300191</v>
      </c>
      <c r="J22" s="85" t="s">
        <v>12</v>
      </c>
      <c r="K22" s="85">
        <v>36901022</v>
      </c>
      <c r="L22" s="85" t="s">
        <v>140</v>
      </c>
      <c r="M22" s="86">
        <v>4501790556</v>
      </c>
      <c r="N22" s="47">
        <v>2499.94</v>
      </c>
      <c r="O22" s="47">
        <f t="shared" si="1"/>
        <v>-1.0000000002037268E-3</v>
      </c>
      <c r="P22" s="18"/>
      <c r="Q22" s="18"/>
      <c r="R22" s="18"/>
    </row>
    <row r="23" spans="1:18" s="48" customFormat="1" hidden="1" x14ac:dyDescent="0.2">
      <c r="A23" s="89">
        <v>24.1</v>
      </c>
      <c r="B23" s="90" t="s">
        <v>141</v>
      </c>
      <c r="C23" s="90" t="s">
        <v>142</v>
      </c>
      <c r="D23" s="91">
        <f>24384*1.17</f>
        <v>28529.279999999999</v>
      </c>
      <c r="E23" s="50"/>
      <c r="F23" s="84"/>
      <c r="G23" s="49"/>
      <c r="H23" s="49"/>
      <c r="I23" s="85">
        <v>38300191</v>
      </c>
      <c r="J23" s="85" t="s">
        <v>12</v>
      </c>
      <c r="K23" s="85">
        <v>36901021</v>
      </c>
      <c r="L23" s="85" t="s">
        <v>15</v>
      </c>
      <c r="M23" s="86">
        <v>4502084157</v>
      </c>
      <c r="N23" s="47">
        <v>28529.279999999999</v>
      </c>
      <c r="O23" s="47">
        <f t="shared" si="1"/>
        <v>0</v>
      </c>
      <c r="P23" s="18"/>
      <c r="Q23" s="18"/>
      <c r="R23" s="18"/>
    </row>
    <row r="24" spans="1:18" s="48" customFormat="1" hidden="1" x14ac:dyDescent="0.2">
      <c r="A24" s="89">
        <v>24.1</v>
      </c>
      <c r="B24" s="90" t="s">
        <v>143</v>
      </c>
      <c r="C24" s="90" t="s">
        <v>144</v>
      </c>
      <c r="D24" s="91">
        <v>11700</v>
      </c>
      <c r="E24" s="50"/>
      <c r="F24" s="84"/>
      <c r="G24" s="49"/>
      <c r="H24" s="49"/>
      <c r="I24" s="85">
        <v>38300191</v>
      </c>
      <c r="J24" s="85" t="s">
        <v>12</v>
      </c>
      <c r="K24" s="85">
        <v>3690102</v>
      </c>
      <c r="L24" s="85" t="s">
        <v>66</v>
      </c>
      <c r="M24" s="86">
        <v>4501502177</v>
      </c>
      <c r="N24" s="47">
        <v>11700</v>
      </c>
      <c r="O24" s="47">
        <f t="shared" si="1"/>
        <v>0</v>
      </c>
      <c r="P24" s="18"/>
      <c r="Q24" s="18"/>
      <c r="R24" s="18"/>
    </row>
    <row r="25" spans="1:18" s="55" customFormat="1" hidden="1" x14ac:dyDescent="0.2">
      <c r="A25" s="98">
        <v>24.1</v>
      </c>
      <c r="B25" s="99" t="s">
        <v>145</v>
      </c>
      <c r="C25" s="99" t="s">
        <v>146</v>
      </c>
      <c r="D25" s="100">
        <f>(78*150)*1.17</f>
        <v>13689</v>
      </c>
      <c r="E25" s="101"/>
      <c r="F25" s="92"/>
      <c r="G25" s="53"/>
      <c r="H25" s="53"/>
      <c r="I25" s="95">
        <v>38300191</v>
      </c>
      <c r="J25" s="96" t="s">
        <v>12</v>
      </c>
      <c r="K25" s="95">
        <v>36901024</v>
      </c>
      <c r="L25" s="96" t="s">
        <v>13</v>
      </c>
      <c r="M25" s="102">
        <v>4502083605</v>
      </c>
      <c r="N25" s="47">
        <v>13689</v>
      </c>
      <c r="O25" s="54">
        <f t="shared" si="1"/>
        <v>0</v>
      </c>
      <c r="P25" s="18"/>
      <c r="Q25" s="18"/>
      <c r="R25" s="18"/>
    </row>
    <row r="26" spans="1:18" s="48" customFormat="1" hidden="1" x14ac:dyDescent="0.2">
      <c r="A26" s="89">
        <v>24.1</v>
      </c>
      <c r="B26" s="90" t="s">
        <v>147</v>
      </c>
      <c r="C26" s="45" t="s">
        <v>148</v>
      </c>
      <c r="D26" s="91">
        <v>5015</v>
      </c>
      <c r="E26" s="46"/>
      <c r="F26" s="84"/>
      <c r="G26" s="45"/>
      <c r="H26" s="45"/>
      <c r="I26" s="85">
        <v>38300191</v>
      </c>
      <c r="J26" s="85" t="s">
        <v>12</v>
      </c>
      <c r="K26" s="85">
        <v>36901022</v>
      </c>
      <c r="L26" s="85" t="s">
        <v>140</v>
      </c>
      <c r="M26" s="87">
        <v>4501986943</v>
      </c>
      <c r="N26" s="88">
        <v>5015</v>
      </c>
      <c r="O26" s="47">
        <f t="shared" si="1"/>
        <v>0</v>
      </c>
      <c r="P26" s="18"/>
      <c r="Q26" s="18"/>
      <c r="R26" s="18"/>
    </row>
    <row r="27" spans="1:18" s="55" customFormat="1" hidden="1" x14ac:dyDescent="0.2">
      <c r="A27" s="51">
        <v>26.1</v>
      </c>
      <c r="B27" s="52" t="s">
        <v>149</v>
      </c>
      <c r="C27" s="52" t="s">
        <v>150</v>
      </c>
      <c r="D27" s="37">
        <f>7810*1.17</f>
        <v>9137.6999999999989</v>
      </c>
      <c r="E27" s="37"/>
      <c r="F27" s="92"/>
      <c r="G27" s="52"/>
      <c r="H27" s="52"/>
      <c r="I27" s="95">
        <v>38300191</v>
      </c>
      <c r="J27" s="96" t="s">
        <v>12</v>
      </c>
      <c r="K27" s="95">
        <v>36901024</v>
      </c>
      <c r="L27" s="96" t="s">
        <v>13</v>
      </c>
      <c r="M27" s="94">
        <v>4502085636</v>
      </c>
      <c r="N27" s="88">
        <v>9137.7000000000007</v>
      </c>
      <c r="O27" s="54">
        <f t="shared" si="1"/>
        <v>0</v>
      </c>
      <c r="P27" s="18"/>
      <c r="Q27" s="18"/>
      <c r="R27" s="18"/>
    </row>
    <row r="28" spans="1:18" s="48" customFormat="1" hidden="1" x14ac:dyDescent="0.2">
      <c r="A28" s="44">
        <v>26.1</v>
      </c>
      <c r="B28" s="45" t="s">
        <v>151</v>
      </c>
      <c r="C28" s="45" t="s">
        <v>152</v>
      </c>
      <c r="D28" s="46">
        <v>6000</v>
      </c>
      <c r="E28" s="46"/>
      <c r="F28" s="84"/>
      <c r="G28" s="45"/>
      <c r="H28" s="45"/>
      <c r="I28" s="85">
        <v>38300191</v>
      </c>
      <c r="J28" s="85" t="s">
        <v>12</v>
      </c>
      <c r="K28" s="85">
        <v>3690112</v>
      </c>
      <c r="L28" s="85" t="s">
        <v>22</v>
      </c>
      <c r="M28" s="87">
        <v>4502088078</v>
      </c>
      <c r="N28" s="88">
        <f>6000*1.17</f>
        <v>7020</v>
      </c>
      <c r="O28" s="47">
        <f t="shared" si="1"/>
        <v>-1020</v>
      </c>
      <c r="P28" s="18"/>
      <c r="Q28" s="18"/>
      <c r="R28" s="18"/>
    </row>
    <row r="29" spans="1:18" s="55" customFormat="1" hidden="1" x14ac:dyDescent="0.2">
      <c r="A29" s="51">
        <v>26.1</v>
      </c>
      <c r="B29" s="52" t="s">
        <v>153</v>
      </c>
      <c r="C29" s="52" t="s">
        <v>154</v>
      </c>
      <c r="D29" s="37">
        <f>7000*1.17</f>
        <v>8189.9999999999991</v>
      </c>
      <c r="E29" s="101"/>
      <c r="F29" s="92"/>
      <c r="G29" s="53"/>
      <c r="H29" s="53"/>
      <c r="I29" s="95">
        <v>38300191</v>
      </c>
      <c r="J29" s="96" t="s">
        <v>12</v>
      </c>
      <c r="K29" s="95">
        <v>36901024</v>
      </c>
      <c r="L29" s="96" t="s">
        <v>13</v>
      </c>
      <c r="M29" s="102">
        <v>4502084583</v>
      </c>
      <c r="N29" s="47">
        <v>8190</v>
      </c>
      <c r="O29" s="54">
        <f t="shared" si="1"/>
        <v>0</v>
      </c>
      <c r="P29" s="18"/>
      <c r="Q29" s="18"/>
      <c r="R29" s="18"/>
    </row>
    <row r="30" spans="1:18" s="48" customFormat="1" ht="28.5" hidden="1" x14ac:dyDescent="0.2">
      <c r="A30" s="44">
        <v>26.1</v>
      </c>
      <c r="B30" s="90" t="s">
        <v>155</v>
      </c>
      <c r="C30" s="90" t="s">
        <v>156</v>
      </c>
      <c r="D30" s="91">
        <v>50000</v>
      </c>
      <c r="E30" s="50"/>
      <c r="F30" s="84"/>
      <c r="G30" s="49"/>
      <c r="H30" s="49" t="s">
        <v>157</v>
      </c>
      <c r="I30" s="85">
        <v>38300191</v>
      </c>
      <c r="J30" s="85" t="s">
        <v>12</v>
      </c>
      <c r="K30" s="85">
        <v>36901091</v>
      </c>
      <c r="L30" s="85" t="s">
        <v>158</v>
      </c>
      <c r="M30" s="86">
        <v>4501973127</v>
      </c>
      <c r="N30" s="47">
        <v>50000</v>
      </c>
      <c r="O30" s="47">
        <f t="shared" si="1"/>
        <v>0</v>
      </c>
      <c r="P30" s="18"/>
      <c r="Q30" s="18"/>
      <c r="R30" s="18"/>
    </row>
    <row r="31" spans="1:18" s="48" customFormat="1" hidden="1" x14ac:dyDescent="0.2">
      <c r="A31" s="44">
        <v>28.1</v>
      </c>
      <c r="B31" s="45" t="s">
        <v>102</v>
      </c>
      <c r="C31" s="45" t="s">
        <v>159</v>
      </c>
      <c r="D31" s="46">
        <v>11989.72</v>
      </c>
      <c r="E31" s="46"/>
      <c r="F31" s="84"/>
      <c r="G31" s="45"/>
      <c r="H31" s="45"/>
      <c r="I31" s="85">
        <v>38300191</v>
      </c>
      <c r="J31" s="85" t="s">
        <v>12</v>
      </c>
      <c r="K31" s="85">
        <v>3690112</v>
      </c>
      <c r="L31" s="85" t="s">
        <v>22</v>
      </c>
      <c r="M31" s="87">
        <v>4502086921</v>
      </c>
      <c r="N31" s="88">
        <v>11989.72</v>
      </c>
      <c r="O31" s="47">
        <f t="shared" si="1"/>
        <v>0</v>
      </c>
      <c r="P31" s="18"/>
      <c r="Q31" s="18"/>
      <c r="R31" s="18"/>
    </row>
    <row r="32" spans="1:18" s="48" customFormat="1" hidden="1" x14ac:dyDescent="0.2">
      <c r="A32" s="44">
        <v>28.1</v>
      </c>
      <c r="B32" s="45" t="s">
        <v>122</v>
      </c>
      <c r="C32" s="45" t="s">
        <v>160</v>
      </c>
      <c r="D32" s="46">
        <v>250000</v>
      </c>
      <c r="E32" s="46"/>
      <c r="F32" s="84"/>
      <c r="G32" s="45"/>
      <c r="H32" s="49" t="s">
        <v>157</v>
      </c>
      <c r="I32" s="85">
        <v>38300121</v>
      </c>
      <c r="J32" s="85" t="s">
        <v>73</v>
      </c>
      <c r="K32" s="85">
        <v>36901031</v>
      </c>
      <c r="L32" s="85" t="s">
        <v>161</v>
      </c>
      <c r="M32" s="87">
        <v>4502000145</v>
      </c>
      <c r="N32" s="88">
        <v>250000</v>
      </c>
      <c r="O32" s="47">
        <f t="shared" si="1"/>
        <v>0</v>
      </c>
      <c r="P32" s="18"/>
      <c r="Q32" s="18"/>
      <c r="R32" s="18"/>
    </row>
    <row r="33" spans="1:18" s="77" customFormat="1" ht="28.5" hidden="1" x14ac:dyDescent="0.2">
      <c r="A33" s="70">
        <v>31.1</v>
      </c>
      <c r="B33" s="71" t="s">
        <v>162</v>
      </c>
      <c r="C33" s="71" t="s">
        <v>163</v>
      </c>
      <c r="D33" s="72">
        <f>3821*3</f>
        <v>11463</v>
      </c>
      <c r="E33" s="72"/>
      <c r="F33" s="73"/>
      <c r="G33" s="71"/>
      <c r="H33" s="71"/>
      <c r="I33" s="74">
        <v>38300191</v>
      </c>
      <c r="J33" s="74" t="s">
        <v>12</v>
      </c>
      <c r="K33" s="74">
        <v>36901027</v>
      </c>
      <c r="L33" s="74" t="s">
        <v>164</v>
      </c>
      <c r="M33" s="75"/>
      <c r="N33" s="81"/>
      <c r="O33" s="76">
        <f t="shared" si="1"/>
        <v>11463</v>
      </c>
    </row>
    <row r="34" spans="1:18" s="48" customFormat="1" ht="28.5" hidden="1" x14ac:dyDescent="0.2">
      <c r="A34" s="44">
        <v>31.1</v>
      </c>
      <c r="B34" s="45" t="s">
        <v>165</v>
      </c>
      <c r="C34" s="45" t="s">
        <v>166</v>
      </c>
      <c r="D34" s="46">
        <v>400000</v>
      </c>
      <c r="E34" s="46"/>
      <c r="F34" s="84"/>
      <c r="G34" s="45"/>
      <c r="H34" s="49" t="s">
        <v>157</v>
      </c>
      <c r="I34" s="85">
        <v>38300191</v>
      </c>
      <c r="J34" s="85" t="s">
        <v>12</v>
      </c>
      <c r="K34" s="85">
        <v>36901026</v>
      </c>
      <c r="L34" s="85" t="s">
        <v>167</v>
      </c>
      <c r="M34" s="87">
        <v>4501765981</v>
      </c>
      <c r="N34" s="88">
        <v>151034.07999999999</v>
      </c>
      <c r="O34" s="47">
        <f t="shared" si="1"/>
        <v>248965.92</v>
      </c>
      <c r="P34" s="18"/>
      <c r="Q34" s="18"/>
      <c r="R34" s="18"/>
    </row>
    <row r="35" spans="1:18" s="48" customFormat="1" hidden="1" x14ac:dyDescent="0.2">
      <c r="A35" s="44">
        <v>31.1</v>
      </c>
      <c r="B35" s="45" t="s">
        <v>168</v>
      </c>
      <c r="C35" s="45" t="s">
        <v>169</v>
      </c>
      <c r="D35" s="46">
        <f>185000*1.17</f>
        <v>216450</v>
      </c>
      <c r="E35" s="50"/>
      <c r="F35" s="84"/>
      <c r="G35" s="49"/>
      <c r="H35" s="49" t="s">
        <v>157</v>
      </c>
      <c r="I35" s="85">
        <v>38300191</v>
      </c>
      <c r="J35" s="85" t="s">
        <v>12</v>
      </c>
      <c r="K35" s="85">
        <v>36901021</v>
      </c>
      <c r="L35" s="85" t="s">
        <v>15</v>
      </c>
      <c r="M35" s="86">
        <v>4501470109</v>
      </c>
      <c r="N35" s="47">
        <v>216450</v>
      </c>
      <c r="O35" s="47">
        <f t="shared" si="1"/>
        <v>0</v>
      </c>
      <c r="P35" s="18"/>
      <c r="Q35" s="18"/>
      <c r="R35" s="18"/>
    </row>
    <row r="36" spans="1:18" x14ac:dyDescent="0.2">
      <c r="A36" s="38">
        <v>31.1</v>
      </c>
      <c r="B36" s="26" t="s">
        <v>170</v>
      </c>
      <c r="C36" s="26" t="s">
        <v>171</v>
      </c>
      <c r="D36" s="27">
        <v>1018217.7</v>
      </c>
      <c r="E36" s="27"/>
      <c r="F36" s="28"/>
      <c r="G36" s="26"/>
      <c r="H36" s="26"/>
      <c r="I36" s="57">
        <v>38300196</v>
      </c>
      <c r="J36" s="57" t="s">
        <v>172</v>
      </c>
      <c r="K36" s="57">
        <v>36901023</v>
      </c>
      <c r="L36" s="57" t="s">
        <v>68</v>
      </c>
      <c r="M36" s="68">
        <v>4502022997</v>
      </c>
      <c r="N36" s="80">
        <v>1018217.7</v>
      </c>
      <c r="O36" s="43">
        <f t="shared" si="1"/>
        <v>0</v>
      </c>
    </row>
    <row r="37" spans="1:18" s="55" customFormat="1" hidden="1" x14ac:dyDescent="0.2">
      <c r="A37" s="51">
        <v>31.1</v>
      </c>
      <c r="B37" s="52" t="s">
        <v>70</v>
      </c>
      <c r="C37" s="52" t="s">
        <v>173</v>
      </c>
      <c r="D37" s="37">
        <v>3363.75</v>
      </c>
      <c r="E37" s="101"/>
      <c r="F37" s="92"/>
      <c r="G37" s="52"/>
      <c r="H37" s="52"/>
      <c r="I37" s="95">
        <v>38300191</v>
      </c>
      <c r="J37" s="96" t="s">
        <v>12</v>
      </c>
      <c r="K37" s="95">
        <v>36901024</v>
      </c>
      <c r="L37" s="96" t="s">
        <v>13</v>
      </c>
      <c r="M37" s="94">
        <v>4502087747</v>
      </c>
      <c r="N37" s="88">
        <v>3363.75</v>
      </c>
      <c r="O37" s="54">
        <f t="shared" si="1"/>
        <v>0</v>
      </c>
      <c r="P37" s="18"/>
      <c r="Q37" s="18"/>
      <c r="R37" s="18"/>
    </row>
    <row r="38" spans="1:18" x14ac:dyDescent="0.2">
      <c r="A38" s="38"/>
      <c r="B38" s="26"/>
      <c r="C38" s="26"/>
      <c r="D38" s="27"/>
      <c r="E38" s="27"/>
      <c r="F38" s="28"/>
      <c r="G38" s="26"/>
      <c r="H38" s="26"/>
      <c r="I38" s="57"/>
      <c r="J38" s="57"/>
      <c r="K38" s="57"/>
      <c r="L38" s="57"/>
      <c r="M38" s="68"/>
      <c r="N38" s="80">
        <f>SUBTOTAL(109,Table1[שווי שורה/ הגדלה ])</f>
        <v>1018217.7</v>
      </c>
      <c r="O38" s="83"/>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57ECF-77A5-439A-B133-25A34DEE98FC}">
  <dimension ref="A1:F18"/>
  <sheetViews>
    <sheetView rightToLeft="1" workbookViewId="0">
      <pane xSplit="4" ySplit="7" topLeftCell="E8" activePane="bottomRight" state="frozen"/>
      <selection pane="topRight" activeCell="E1" sqref="E1"/>
      <selection pane="bottomLeft" activeCell="A8" sqref="A8"/>
      <selection pane="bottomRight" activeCell="C25" sqref="C25"/>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31.5" x14ac:dyDescent="0.25">
      <c r="C2" s="4" t="s">
        <v>0</v>
      </c>
      <c r="D2" s="16" t="s">
        <v>71</v>
      </c>
      <c r="F2"/>
    </row>
    <row r="3" spans="1:6" s="3" customFormat="1" ht="15.75" x14ac:dyDescent="0.25">
      <c r="C3" s="17" t="s">
        <v>1</v>
      </c>
      <c r="D3" s="5"/>
      <c r="F3"/>
    </row>
    <row r="4" spans="1:6" s="3" customFormat="1" ht="15.75" x14ac:dyDescent="0.25">
      <c r="C4" s="6" t="s">
        <v>24</v>
      </c>
      <c r="D4" s="7"/>
      <c r="F4"/>
    </row>
    <row r="5" spans="1:6" s="3" customFormat="1" ht="15" x14ac:dyDescent="0.25">
      <c r="C5" s="8"/>
      <c r="D5" s="9"/>
      <c r="F5"/>
    </row>
    <row r="6" spans="1:6" s="3" customFormat="1" ht="15.75" thickBot="1" x14ac:dyDescent="0.3">
      <c r="C6" s="10" t="s">
        <v>72</v>
      </c>
      <c r="D6" s="11"/>
      <c r="F6"/>
    </row>
    <row r="7" spans="1:6" ht="28.5" x14ac:dyDescent="0.2">
      <c r="A7" s="12" t="s">
        <v>2</v>
      </c>
      <c r="B7" s="12" t="s">
        <v>3</v>
      </c>
      <c r="C7" s="12" t="s">
        <v>4</v>
      </c>
      <c r="D7" s="13" t="s">
        <v>5</v>
      </c>
    </row>
    <row r="8" spans="1:6" s="15" customFormat="1" ht="15" x14ac:dyDescent="0.25">
      <c r="A8" s="56">
        <v>1</v>
      </c>
      <c r="B8" s="22"/>
      <c r="C8" s="22" t="s">
        <v>85</v>
      </c>
      <c r="D8" s="23">
        <v>4717.4399999999996</v>
      </c>
    </row>
    <row r="9" spans="1:6" s="15" customFormat="1" ht="15" x14ac:dyDescent="0.25">
      <c r="A9" s="56">
        <v>2</v>
      </c>
      <c r="B9" s="14"/>
      <c r="C9" s="14" t="s">
        <v>81</v>
      </c>
      <c r="D9" s="23">
        <v>8739.9</v>
      </c>
    </row>
    <row r="10" spans="1:6" s="15" customFormat="1" ht="15" x14ac:dyDescent="0.25">
      <c r="A10" s="56">
        <v>3</v>
      </c>
      <c r="B10" s="22"/>
      <c r="C10" s="22" t="s">
        <v>84</v>
      </c>
      <c r="D10" s="23">
        <f>8777+8658</f>
        <v>17435</v>
      </c>
    </row>
    <row r="11" spans="1:6" s="15" customFormat="1" ht="30" x14ac:dyDescent="0.25">
      <c r="A11" s="56">
        <v>4</v>
      </c>
      <c r="B11" s="14"/>
      <c r="C11" s="14" t="s">
        <v>82</v>
      </c>
      <c r="D11" s="23">
        <v>32760</v>
      </c>
    </row>
    <row r="12" spans="1:6" s="15" customFormat="1" ht="15" x14ac:dyDescent="0.25">
      <c r="A12" s="56">
        <v>5</v>
      </c>
      <c r="B12" s="22"/>
      <c r="C12" s="22" t="s">
        <v>80</v>
      </c>
      <c r="D12" s="23">
        <v>33292.35</v>
      </c>
    </row>
    <row r="13" spans="1:6" s="15" customFormat="1" ht="15" x14ac:dyDescent="0.25">
      <c r="A13" s="56">
        <v>6</v>
      </c>
      <c r="B13" s="22"/>
      <c r="C13" s="22" t="s">
        <v>69</v>
      </c>
      <c r="D13" s="23">
        <v>44612</v>
      </c>
    </row>
    <row r="14" spans="1:6" s="15" customFormat="1" ht="15" x14ac:dyDescent="0.25">
      <c r="A14" s="56">
        <v>7</v>
      </c>
      <c r="B14" s="14"/>
      <c r="C14" s="14" t="s">
        <v>78</v>
      </c>
      <c r="D14" s="23">
        <v>48180.6</v>
      </c>
    </row>
    <row r="15" spans="1:6" ht="15" x14ac:dyDescent="0.25">
      <c r="A15" s="56">
        <v>8</v>
      </c>
      <c r="B15" s="14"/>
      <c r="C15" s="14" t="s">
        <v>86</v>
      </c>
      <c r="D15" s="23">
        <v>50000</v>
      </c>
    </row>
    <row r="16" spans="1:6" ht="30" x14ac:dyDescent="0.25">
      <c r="A16" s="56">
        <v>9</v>
      </c>
      <c r="B16" s="14"/>
      <c r="C16" s="14" t="s">
        <v>83</v>
      </c>
      <c r="D16" s="23">
        <v>204750</v>
      </c>
    </row>
    <row r="17" spans="1:4" ht="15" x14ac:dyDescent="0.25">
      <c r="A17" s="56">
        <v>10</v>
      </c>
      <c r="B17" s="14"/>
      <c r="C17" s="14" t="s">
        <v>79</v>
      </c>
      <c r="D17" s="23">
        <v>285895</v>
      </c>
    </row>
    <row r="18" spans="1:4" ht="15" x14ac:dyDescent="0.25">
      <c r="A18" s="40"/>
      <c r="B18" s="22"/>
      <c r="C18" s="22"/>
      <c r="D18" s="41">
        <f>SUBTOTAL(109,Table133232323524242424[סכום ההתקשרות (סכום ההתקשרות ולא סכום המזומן)])</f>
        <v>730382.29</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CEA8D-F475-4EB0-9CDE-2241EEFCF978}">
  <dimension ref="A1:F19"/>
  <sheetViews>
    <sheetView rightToLeft="1" tabSelected="1" workbookViewId="0">
      <pane xSplit="4" ySplit="7" topLeftCell="E8" activePane="bottomRight" state="frozen"/>
      <selection pane="topRight" activeCell="E1" sqref="E1"/>
      <selection pane="bottomLeft" activeCell="A8" sqref="A8"/>
      <selection pane="bottomRight" activeCell="C18" sqref="C18"/>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31.5" x14ac:dyDescent="0.25">
      <c r="C2" s="4" t="s">
        <v>0</v>
      </c>
      <c r="D2" s="16" t="s">
        <v>87</v>
      </c>
      <c r="F2"/>
    </row>
    <row r="3" spans="1:6" s="3" customFormat="1" ht="15.75" x14ac:dyDescent="0.25">
      <c r="C3" s="17" t="s">
        <v>1</v>
      </c>
      <c r="D3" s="5"/>
      <c r="F3"/>
    </row>
    <row r="4" spans="1:6" s="3" customFormat="1" ht="15.75" x14ac:dyDescent="0.25">
      <c r="C4" s="6" t="s">
        <v>24</v>
      </c>
      <c r="D4" s="7"/>
      <c r="F4"/>
    </row>
    <row r="5" spans="1:6" s="3" customFormat="1" ht="15" x14ac:dyDescent="0.25">
      <c r="C5" s="8"/>
      <c r="D5" s="9"/>
      <c r="F5"/>
    </row>
    <row r="6" spans="1:6" s="3" customFormat="1" ht="15.75" thickBot="1" x14ac:dyDescent="0.3">
      <c r="C6" s="10" t="s">
        <v>88</v>
      </c>
      <c r="D6" s="11"/>
      <c r="F6"/>
    </row>
    <row r="7" spans="1:6" ht="28.5" x14ac:dyDescent="0.2">
      <c r="A7" s="12" t="s">
        <v>2</v>
      </c>
      <c r="B7" s="12" t="s">
        <v>3</v>
      </c>
      <c r="C7" s="12" t="s">
        <v>4</v>
      </c>
      <c r="D7" s="13" t="s">
        <v>5</v>
      </c>
    </row>
    <row r="8" spans="1:6" s="15" customFormat="1" ht="15" x14ac:dyDescent="0.25">
      <c r="A8" s="56">
        <v>1</v>
      </c>
      <c r="B8" s="14"/>
      <c r="C8" s="14" t="s">
        <v>180</v>
      </c>
      <c r="D8" s="23">
        <v>7514.9400000000005</v>
      </c>
    </row>
    <row r="9" spans="1:6" s="15" customFormat="1" ht="15" x14ac:dyDescent="0.25">
      <c r="A9" s="56">
        <v>2</v>
      </c>
      <c r="B9" s="22"/>
      <c r="C9" s="22" t="s">
        <v>176</v>
      </c>
      <c r="D9" s="23">
        <v>14571.7</v>
      </c>
    </row>
    <row r="10" spans="1:6" s="15" customFormat="1" ht="15" x14ac:dyDescent="0.25">
      <c r="A10" s="56">
        <v>3</v>
      </c>
      <c r="B10" s="14"/>
      <c r="C10" s="14" t="s">
        <v>182</v>
      </c>
      <c r="D10" s="23">
        <v>28641.599999999999</v>
      </c>
    </row>
    <row r="11" spans="1:6" s="15" customFormat="1" ht="15" x14ac:dyDescent="0.25">
      <c r="A11" s="56">
        <v>4</v>
      </c>
      <c r="B11" s="14"/>
      <c r="C11" s="14" t="s">
        <v>181</v>
      </c>
      <c r="D11" s="23">
        <v>66569.38</v>
      </c>
    </row>
    <row r="12" spans="1:6" s="15" customFormat="1" ht="15" x14ac:dyDescent="0.25">
      <c r="A12" s="56">
        <v>5</v>
      </c>
      <c r="B12" s="14"/>
      <c r="C12" s="14" t="s">
        <v>13</v>
      </c>
      <c r="D12" s="23">
        <f>11700+73212.75</f>
        <v>84912.75</v>
      </c>
    </row>
    <row r="13" spans="1:6" s="15" customFormat="1" ht="15" x14ac:dyDescent="0.25">
      <c r="A13" s="56">
        <v>6</v>
      </c>
      <c r="B13" s="22"/>
      <c r="C13" s="22" t="s">
        <v>177</v>
      </c>
      <c r="D13" s="23">
        <v>150000</v>
      </c>
    </row>
    <row r="14" spans="1:6" s="15" customFormat="1" ht="15" x14ac:dyDescent="0.25">
      <c r="A14" s="56">
        <v>7</v>
      </c>
      <c r="B14" s="14"/>
      <c r="C14" s="14" t="s">
        <v>183</v>
      </c>
      <c r="D14" s="23">
        <v>151034.07999999999</v>
      </c>
    </row>
    <row r="15" spans="1:6" ht="15" x14ac:dyDescent="0.25">
      <c r="A15" s="56">
        <v>8</v>
      </c>
      <c r="B15" s="22"/>
      <c r="C15" s="22" t="s">
        <v>174</v>
      </c>
      <c r="D15" s="23">
        <f>269936.8+50000+50000</f>
        <v>369936.8</v>
      </c>
    </row>
    <row r="16" spans="1:6" ht="30" x14ac:dyDescent="0.25">
      <c r="A16" s="56">
        <v>9</v>
      </c>
      <c r="B16" s="14"/>
      <c r="C16" s="14" t="s">
        <v>178</v>
      </c>
      <c r="D16" s="23">
        <v>625000</v>
      </c>
    </row>
    <row r="17" spans="1:4" ht="15" x14ac:dyDescent="0.25">
      <c r="A17" s="56">
        <v>10</v>
      </c>
      <c r="B17" s="22"/>
      <c r="C17" s="22" t="s">
        <v>179</v>
      </c>
      <c r="D17" s="23">
        <v>653044.27</v>
      </c>
    </row>
    <row r="18" spans="1:4" ht="15" x14ac:dyDescent="0.25">
      <c r="A18" s="56">
        <v>11</v>
      </c>
      <c r="B18" s="22"/>
      <c r="C18" s="22" t="s">
        <v>184</v>
      </c>
      <c r="D18" s="23">
        <v>1018217.7</v>
      </c>
    </row>
    <row r="19" spans="1:4" ht="15" x14ac:dyDescent="0.25">
      <c r="A19" s="40"/>
      <c r="B19" s="22"/>
      <c r="C19" s="22"/>
      <c r="D19" s="41">
        <f>SUBTOTAL(109,Table1332323235242424242[סכום ההתקשרות (סכום ההתקשרות ולא סכום המזומן)])</f>
        <v>3169443.2199999997</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דוח פניות לאוצר 2021</vt:lpstr>
      <vt:lpstr>דוח החרגות</vt:lpstr>
      <vt:lpstr>ספטמבר</vt:lpstr>
      <vt:lpstr>אוקטובר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Shira Vegotzky</dc:creator>
  <cp:keywords/>
  <dc:description/>
  <cp:lastModifiedBy>Shira Vegotzky</cp:lastModifiedBy>
  <dcterms:created xsi:type="dcterms:W3CDTF">2020-05-03T06:35:46Z</dcterms:created>
  <dcterms:modified xsi:type="dcterms:W3CDTF">2021-11-14T04:47:49Z</dcterms:modified>
  <cp:category/>
</cp:coreProperties>
</file>