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8_{BA56E858-9C5E-43DC-B799-4E396D46E063}" xr6:coauthVersionLast="47" xr6:coauthVersionMax="47" xr10:uidLastSave="{00000000-0000-0000-0000-000000000000}"/>
  <bookViews>
    <workbookView xWindow="-120" yWindow="-120" windowWidth="24240" windowHeight="13140" firstSheet="3" activeTab="3" xr2:uid="{00000000-000D-0000-FFFF-FFFF00000000}"/>
  </bookViews>
  <sheets>
    <sheet name="מאי" sheetId="29" state="hidden" r:id="rId1"/>
    <sheet name="דוח החרגות" sheetId="28" state="hidden" r:id="rId2"/>
    <sheet name="דוח פניות לאוצר 2021" sheetId="24" state="hidden" r:id="rId3"/>
    <sheet name="יוני" sheetId="32" r:id="rId4"/>
  </sheets>
  <externalReferences>
    <externalReference r:id="rId5"/>
    <externalReference r:id="rId6"/>
    <externalReference r:id="rId7"/>
    <externalReference r:id="rId8"/>
  </externalReferences>
  <definedNames>
    <definedName name="נספח_ב" localSheetId="3">יוני!#REF!</definedName>
    <definedName name="נספח_ב" localSheetId="0">מאי!#REF!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32" l="1"/>
  <c r="D22" i="32"/>
  <c r="N37" i="28" l="1"/>
  <c r="D16" i="32"/>
  <c r="G2" i="24"/>
  <c r="G3" i="24"/>
  <c r="G4" i="24"/>
  <c r="G5" i="24"/>
  <c r="G6" i="24"/>
  <c r="G7" i="24"/>
  <c r="G8" i="24"/>
  <c r="G11" i="24"/>
  <c r="J2" i="24"/>
  <c r="J5" i="24"/>
  <c r="J6" i="24"/>
  <c r="J7" i="24"/>
  <c r="J8" i="24"/>
  <c r="J9" i="24"/>
  <c r="J10" i="24"/>
  <c r="J11" i="24"/>
  <c r="O36" i="28" l="1"/>
  <c r="F36" i="28"/>
  <c r="O35" i="28"/>
  <c r="F35" i="28"/>
  <c r="F34" i="28"/>
  <c r="D34" i="28"/>
  <c r="O34" i="28" s="1"/>
  <c r="O33" i="28"/>
  <c r="F33" i="28"/>
  <c r="N32" i="28"/>
  <c r="F32" i="28"/>
  <c r="D32" i="28"/>
  <c r="O31" i="28"/>
  <c r="F31" i="28"/>
  <c r="O30" i="28"/>
  <c r="F30" i="28"/>
  <c r="O29" i="28"/>
  <c r="F29" i="28"/>
  <c r="F28" i="28"/>
  <c r="D28" i="28"/>
  <c r="O28" i="28" s="1"/>
  <c r="F27" i="28"/>
  <c r="D27" i="28"/>
  <c r="O27" i="28" s="1"/>
  <c r="O26" i="28"/>
  <c r="N25" i="28"/>
  <c r="F25" i="28"/>
  <c r="D25" i="28"/>
  <c r="O24" i="28"/>
  <c r="F24" i="28"/>
  <c r="O23" i="28"/>
  <c r="F23" i="28"/>
  <c r="N22" i="28"/>
  <c r="O22" i="28" s="1"/>
  <c r="F22" i="28"/>
  <c r="F21" i="28"/>
  <c r="D21" i="28"/>
  <c r="O21" i="28" s="1"/>
  <c r="F20" i="28"/>
  <c r="D20" i="28"/>
  <c r="O20" i="28" s="1"/>
  <c r="F19" i="28"/>
  <c r="D19" i="28"/>
  <c r="O19" i="28" s="1"/>
  <c r="N18" i="28"/>
  <c r="O18" i="28" s="1"/>
  <c r="F18" i="28"/>
  <c r="N17" i="28"/>
  <c r="O17" i="28" s="1"/>
  <c r="F17" i="28"/>
  <c r="N16" i="28"/>
  <c r="O16" i="28" s="1"/>
  <c r="F16" i="28"/>
  <c r="F15" i="28"/>
  <c r="D15" i="28"/>
  <c r="O15" i="28" s="1"/>
  <c r="O14" i="28"/>
  <c r="F14" i="28"/>
  <c r="O13" i="28"/>
  <c r="F13" i="28"/>
  <c r="O12" i="28"/>
  <c r="F12" i="28"/>
  <c r="O11" i="28"/>
  <c r="F11" i="28"/>
  <c r="O10" i="28"/>
  <c r="F10" i="28"/>
  <c r="O9" i="28"/>
  <c r="F9" i="28"/>
  <c r="O8" i="28"/>
  <c r="F8" i="28"/>
  <c r="O7" i="28"/>
  <c r="F7" i="28"/>
  <c r="O6" i="28"/>
  <c r="F6" i="28"/>
  <c r="O5" i="28"/>
  <c r="F5" i="28"/>
  <c r="F4" i="28"/>
  <c r="D4" i="28"/>
  <c r="O4" i="28" s="1"/>
  <c r="N3" i="28"/>
  <c r="F3" i="28"/>
  <c r="D3" i="28"/>
  <c r="O2" i="28"/>
  <c r="F2" i="28"/>
  <c r="D17" i="29"/>
  <c r="O32" i="28" l="1"/>
  <c r="O25" i="28"/>
  <c r="O3" i="28"/>
  <c r="F9" i="24"/>
  <c r="F8" i="24"/>
  <c r="F7" i="24"/>
  <c r="F6" i="24"/>
  <c r="I4" i="24"/>
  <c r="I3" i="24"/>
  <c r="J3" i="24" l="1"/>
  <c r="J4" i="24" l="1"/>
</calcChain>
</file>

<file path=xl/sharedStrings.xml><?xml version="1.0" encoding="utf-8"?>
<sst xmlns="http://schemas.openxmlformats.org/spreadsheetml/2006/main" count="252" uniqueCount="173">
  <si>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</si>
  <si>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</si>
  <si>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</si>
  <si>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</si>
  <si>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</si>
  <si>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</si>
  <si>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</si>
  <si>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</si>
  <si>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</si>
  <si>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</si>
  <si>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</si>
  <si>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</si>
  <si>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</si>
  <si>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</si>
  <si>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</si>
  <si>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</si>
  <si>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</si>
  <si>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</si>
  <si>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</si>
  <si>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</si>
  <si>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</si>
  <si>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</si>
  <si>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</si>
  <si>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שיווק</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</si>
  <si>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</si>
  <si>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</si>
  <si>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</si>
  <si>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</si>
  <si>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</si>
  <si>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</si>
  <si>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</si>
  <si>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</si>
  <si>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</si>
  <si>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</si>
  <si>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</si>
  <si>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</si>
  <si>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</si>
  <si>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</si>
  <si>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</si>
  <si>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דיור</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</si>
  <si>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</si>
  <si>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</si>
  <si>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</si>
  <si>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</si>
  <si>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</si>
  <si>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</si>
  <si>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</si>
  <si>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</si>
  <si>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</si>
  <si>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</si>
  <si>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</si>
  <si>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</si>
  <si>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</si>
  <si>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</si>
  <si>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</si>
  <si>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</si>
  <si>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</si>
  <si>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</si>
  <si>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</si>
  <si>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</si>
  <si>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</si>
  <si>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23.00</t>
  </si>
  <si>
    <t>דוח החרגות לחודש: מאי 2021</t>
  </si>
  <si>
    <t>פרסומי חודש 05/2021 בהתאם להוראות סעיף 49(ב) לחוק יסודות התקציב, תשמ"ה-1985</t>
  </si>
  <si>
    <t>פלאפון תקשרות</t>
  </si>
  <si>
    <t>טיקל סנטר</t>
  </si>
  <si>
    <t>בינת סמך</t>
  </si>
  <si>
    <t>כיבוד</t>
  </si>
  <si>
    <t>26.05.2021</t>
  </si>
  <si>
    <t>01.06.2021</t>
  </si>
  <si>
    <t>כנסים</t>
  </si>
  <si>
    <t>שיווק תכנים</t>
  </si>
  <si>
    <t>הוצאות מחשוב</t>
  </si>
  <si>
    <t xml:space="preserve">מיקור חוץ- מיחשוב </t>
  </si>
  <si>
    <t>הרחבת והארכת התקשרות- שירותי הסעות</t>
  </si>
  <si>
    <t>דמי חבר- 2021</t>
  </si>
  <si>
    <t xml:space="preserve">דיור- שיפוץ </t>
  </si>
  <si>
    <t>קדמי אלחנתי</t>
  </si>
  <si>
    <t>הגדלת התקשרות ל 2021</t>
  </si>
  <si>
    <t>חשבות</t>
  </si>
  <si>
    <t>2.06</t>
  </si>
  <si>
    <t>מיכאל נירגד</t>
  </si>
  <si>
    <t>הפקת סרטון פינטק</t>
  </si>
  <si>
    <t>12.05.2021</t>
  </si>
  <si>
    <t>הראל מחשבים</t>
  </si>
  <si>
    <t>רכישת מחשב נסיוני- -x13-l13-3160521</t>
  </si>
  <si>
    <t>האקדמיה לפירות</t>
  </si>
  <si>
    <t>מגשי פירות לעובדים אשר נמצאים זמן ממושך בבית</t>
  </si>
  <si>
    <t xml:space="preserve">EVENTACT </t>
  </si>
  <si>
    <t>איפיון פרויקט: שבוע הכשרות של רשות החדשנות</t>
  </si>
  <si>
    <t>מי עדן</t>
  </si>
  <si>
    <t>מיכל מים לאודיטוריום</t>
  </si>
  <si>
    <t>תיירות צובה</t>
  </si>
  <si>
    <t xml:space="preserve"> פרידת המועצה מאהרון</t>
  </si>
  <si>
    <t>אירוח אורחים מחו"ל</t>
  </si>
  <si>
    <t>מתוקה</t>
  </si>
  <si>
    <t xml:space="preserve"> אייץ. אר. די. הכשרות לגיוס עובדים</t>
  </si>
  <si>
    <t>השתתפות בכננס משאבי אנוש</t>
  </si>
  <si>
    <t>זיפקום</t>
  </si>
  <si>
    <t xml:space="preserve">הגדלת רישוי ה-Proofpoint של הרשות </t>
  </si>
  <si>
    <t>הגדלת מספר משתמשים לשירותי SOC</t>
  </si>
  <si>
    <t>29.12.2020</t>
  </si>
  <si>
    <t>אוראל בן ישי</t>
  </si>
  <si>
    <t>שירותי איש טכני לאירוע בנצרת</t>
  </si>
  <si>
    <t xml:space="preserve">גלובס </t>
  </si>
  <si>
    <t>מינוי שנתי לדרור</t>
  </si>
  <si>
    <t>אקטיב טרייל</t>
  </si>
  <si>
    <t>דיוורים- המחיר הוא ל5 מליון דיוורים</t>
  </si>
  <si>
    <t>קלאוד אפליקיישנס</t>
  </si>
  <si>
    <t>הרחבה עבור טיפול ועדכון בבעיות בהקמת המערכת</t>
  </si>
  <si>
    <t>09.06.2021</t>
  </si>
  <si>
    <t>הרצוג פוקס נאמן</t>
  </si>
  <si>
    <t xml:space="preserve">הגדלה והרחבת התקשרות- 2021 </t>
  </si>
  <si>
    <t>ייעוץ משפטי</t>
  </si>
  <si>
    <t>4501952383  </t>
  </si>
  <si>
    <t>רובין שמואלביץ, עו"ד</t>
  </si>
  <si>
    <t>ניתאי</t>
  </si>
  <si>
    <t>קורס עזרה ראשונה</t>
  </si>
  <si>
    <t>Buy me</t>
  </si>
  <si>
    <t>מתנות לבני מצווה</t>
  </si>
  <si>
    <t>קל גב</t>
  </si>
  <si>
    <t xml:space="preserve">ילקוטים לעולים לכיתה א </t>
  </si>
  <si>
    <t>מיכל רוזן</t>
  </si>
  <si>
    <t>הרחבת התקשרות- אדריכלות קלאוזנר</t>
  </si>
  <si>
    <t>02.09.2020</t>
  </si>
  <si>
    <t>חללי עבודה</t>
  </si>
  <si>
    <t>דואר ישראל</t>
  </si>
  <si>
    <t xml:space="preserve">למשלוח 2350 מכתבים רשומים , לטובת קרן תמורה עבור חברות שלא שילמו תמלוגים </t>
  </si>
  <si>
    <t>תפעול תמיכות</t>
  </si>
  <si>
    <t xml:space="preserve">אינטגרציה של המרכזיה עם ואצאפ </t>
  </si>
  <si>
    <t>שירות לקוחות</t>
  </si>
  <si>
    <t>פלטפורמה למציאת מידע אודות חברות פרטיות וציבוריות- 45,000 דולר להתקשרות של שנה</t>
  </si>
  <si>
    <t>13.06.2021</t>
  </si>
  <si>
    <t>יועצים ומחקר</t>
  </si>
  <si>
    <t>ליצ'י תרגומים</t>
  </si>
  <si>
    <t>תרגום מסמכים לאנגלית</t>
  </si>
  <si>
    <t>כיבוד לאירוע יזמים מהחברה הערבית</t>
  </si>
  <si>
    <t>ריקושט</t>
  </si>
  <si>
    <t>תווי קנייה לילדי העובדים המתגייסים</t>
  </si>
  <si>
    <t>בית גנזים</t>
  </si>
  <si>
    <t>הגדלת ההזמנה ל 2021</t>
  </si>
  <si>
    <t xml:space="preserve">לב המשרד </t>
  </si>
  <si>
    <t>חותמת לימור</t>
  </si>
  <si>
    <t xml:space="preserve">הגדלת הזמנה </t>
  </si>
  <si>
    <t>גטי מלחה</t>
  </si>
  <si>
    <t>הגדלת הזמנה לרבעון שלישי של 2021</t>
  </si>
  <si>
    <t xml:space="preserve">בית התפוצות </t>
  </si>
  <si>
    <t>יום עיון זירת צמיחה</t>
  </si>
  <si>
    <t>אן טן אס ישראל</t>
  </si>
  <si>
    <t>יח"צ בינ"ל</t>
  </si>
  <si>
    <t>קורקט</t>
  </si>
  <si>
    <t xml:space="preserve">מתנות לראש השנה </t>
  </si>
  <si>
    <t>ברנרד קרן</t>
  </si>
  <si>
    <t>הרצאה בנוגע להטרדה מינית במקומות העבודה</t>
  </si>
  <si>
    <t xml:space="preserve">בקשה להרחבת התקשרות עם חברת ספארק ביונד בע"מ </t>
  </si>
  <si>
    <t>דוח החרגות לחודש: יוני 2021</t>
  </si>
  <si>
    <t>פרסומי חודש 06/2021 בהתאם להוראות סעיף 49(ב) לחוק יסודות התקציב, תשמ"ה-1985</t>
  </si>
  <si>
    <t>שירותי דיוור</t>
  </si>
  <si>
    <t>הפקת כנסים ואירועי שיווק</t>
  </si>
  <si>
    <t>שירותי יח"צ בינ"ל- פנייה 35254 אושרה בוועדת חריגים של האוצר</t>
  </si>
  <si>
    <t xml:space="preserve">שירותי מחשוב- רשיונות שימוש, חומרה ותוכנה </t>
  </si>
  <si>
    <t>פעולות רווחה</t>
  </si>
  <si>
    <t xml:space="preserve">מתנות לעובדים לראש השנה </t>
  </si>
  <si>
    <t>שכירות ג.ט.י- רבעון שלישי 2021</t>
  </si>
  <si>
    <t>הוצאות משרדיות</t>
  </si>
  <si>
    <t>התקשרות משלימה לפרויקט בניין הידע</t>
  </si>
  <si>
    <t>יעוץ משפטי, הרחבת התקשרות.  פנייה 32238 אושרה בוועדת החריגים של האוצר</t>
  </si>
  <si>
    <r>
      <t>Crunchbase Inc</t>
    </r>
    <r>
      <rPr>
        <sz val="11"/>
        <color rgb="FFFF0000"/>
        <rFont val="Arial"/>
        <family val="2"/>
        <scheme val="minor"/>
      </rPr>
      <t xml:space="preserve"> </t>
    </r>
  </si>
  <si>
    <t>הרחבת התקשרות, ביצוע אדריכלות במתחם קלאוזנר. פנייה 32180 אושרה בוועדת החריגים של האוצר</t>
  </si>
  <si>
    <t xml:space="preserve">ביצוע ביקורת כספים בחשבות, הארכת התקשרות- פנייה 31201  אושרה בוועדת החריגים של האוצר </t>
  </si>
  <si>
    <t xml:space="preserve">אירוע פרידה </t>
  </si>
  <si>
    <t xml:space="preserve">ימי עיון </t>
  </si>
  <si>
    <t xml:space="preserve">שיפורי מרכזייה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</si>
</sst>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29" x14ac:knownFonts="1">
    <font>
      <sz val="11"/>
      <color theme="1"/>
      <name val="Arial"/>
      <family val="2"/>
      <charset val="177"/>
      <scheme val="minor"/>
    </font>
    <font>
      <sz val="11"/>
      <color theme="1"/>
      <name val="Arial"/>
      <family val="2"/>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b/>
      <sz val="6"/>
      <color theme="1"/>
      <name val="Arial"/>
      <family val="2"/>
      <scheme val="minor"/>
    </font>
    <font>
      <sz val="11"/>
      <color rgb="FFFF0000"/>
      <name val="Arial"/>
      <family val="2"/>
      <scheme val="minor"/>
    </font>
    <font>
      <sz val="10"/>
      <name val="Arial"/>
      <family val="2"/>
    </font>
    <font>
      <sz val="11"/>
      <color rgb="FFFF0000"/>
      <name val="Calibri"/>
      <family val="2"/>
    </font>
    <font>
      <b/>
      <sz val="11"/>
      <color rgb="FFFF0000"/>
      <name val="Arial"/>
      <family val="2"/>
      <scheme val="minor"/>
    </font>
    <font>
      <sz val="11"/>
      <color rgb="FFFF0000"/>
      <name val="David"/>
      <family val="2"/>
    </font>
  </fonts>
  <fills count="4">
    <fill>
      <patternFill patternType="none"/>
    </fill>
    <fill>
      <patternFill patternType="gray125"/>
    </fill>
    <fill>
      <patternFill patternType="solid">
        <fgColor rgb="FFFFCCCC"/>
        <bgColor indexed="64"/>
      </patternFill>
    </fill>
    <fill>
      <patternFill patternType="solid">
        <fgColor rgb="FF00CC9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theme="6"/>
      </bottom>
      <diagonal/>
    </border>
  </borders>
  <cellStyleXfs count="13">
    <xf numFmtId="0" fontId="0" fillId="0" borderId="0"/>
    <xf numFmtId="43" fontId="13" fillId="0" borderId="0" applyFont="0" applyFill="0" applyBorder="0" applyAlignment="0" applyProtection="0"/>
    <xf numFmtId="0" fontId="2" fillId="0" borderId="0"/>
    <xf numFmtId="44" fontId="13" fillId="0" borderId="0" applyFont="0" applyFill="0" applyBorder="0" applyAlignment="0" applyProtection="0"/>
    <xf numFmtId="0" fontId="14" fillId="0" borderId="0"/>
    <xf numFmtId="0" fontId="15" fillId="0" borderId="0"/>
    <xf numFmtId="43" fontId="13" fillId="0" borderId="0" applyFont="0" applyFill="0" applyBorder="0" applyAlignment="0" applyProtection="0"/>
    <xf numFmtId="0" fontId="2" fillId="0" borderId="0"/>
    <xf numFmtId="0" fontId="17" fillId="0" borderId="0"/>
    <xf numFmtId="0" fontId="18" fillId="0" borderId="0"/>
    <xf numFmtId="0" fontId="19" fillId="0" borderId="0"/>
    <xf numFmtId="9" fontId="13" fillId="0" borderId="0" applyFont="0" applyFill="0" applyBorder="0" applyAlignment="0" applyProtection="0"/>
    <xf numFmtId="0" fontId="25" fillId="0" borderId="0"/>
  </cellStyleXfs>
  <cellXfs count="76">
    <xf numFmtId="0" fontId="0" fillId="0" borderId="0" xfId="0"/>
    <xf numFmtId="0" fontId="4" fillId="0" borderId="0" xfId="0" applyFont="1"/>
    <xf numFmtId="0" fontId="5" fillId="0" borderId="0" xfId="0" applyFont="1" applyAlignment="1">
      <alignment vertical="center" readingOrder="2"/>
    </xf>
    <xf numFmtId="0" fontId="6" fillId="0" borderId="0" xfId="0" applyFont="1"/>
    <xf numFmtId="0" fontId="7" fillId="0" borderId="2" xfId="0" applyFont="1" applyBorder="1" applyAlignment="1">
      <alignment horizontal="right" vertical="center" readingOrder="2"/>
    </xf>
    <xf numFmtId="0" fontId="8" fillId="0" borderId="5" xfId="0" applyFont="1" applyBorder="1" applyAlignment="1">
      <alignment vertical="center" readingOrder="2"/>
    </xf>
    <xf numFmtId="0" fontId="9" fillId="0" borderId="4" xfId="0" applyFont="1" applyBorder="1" applyAlignment="1">
      <alignment vertical="center" readingOrder="2"/>
    </xf>
    <xf numFmtId="0" fontId="9" fillId="0" borderId="5" xfId="0" applyFont="1" applyBorder="1" applyAlignment="1">
      <alignment vertical="center" readingOrder="2"/>
    </xf>
    <xf numFmtId="0" fontId="10" fillId="0" borderId="4" xfId="0" applyFont="1" applyBorder="1"/>
    <xf numFmtId="0" fontId="10" fillId="0" borderId="5" xfId="0" applyFont="1" applyBorder="1"/>
    <xf numFmtId="0" fontId="6" fillId="0" borderId="6" xfId="0" applyFont="1" applyBorder="1"/>
    <xf numFmtId="0" fontId="6"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xf numFmtId="0" fontId="6" fillId="0" borderId="0" xfId="0" applyFont="1" applyAlignment="1">
      <alignment wrapText="1"/>
    </xf>
    <xf numFmtId="43" fontId="6" fillId="0" borderId="0" xfId="1" applyFont="1"/>
    <xf numFmtId="0" fontId="3" fillId="0" borderId="0" xfId="0" applyFont="1"/>
    <xf numFmtId="0" fontId="7" fillId="0" borderId="3" xfId="0" applyFont="1" applyBorder="1" applyAlignment="1">
      <alignment horizontal="center" vertical="center" wrapText="1" readingOrder="2"/>
    </xf>
    <xf numFmtId="0" fontId="6" fillId="0" borderId="0" xfId="0" applyFont="1" applyAlignment="1">
      <alignment horizontal="right" wrapText="1" readingOrder="2"/>
    </xf>
    <xf numFmtId="0" fontId="16" fillId="0" borderId="4" xfId="0" applyFont="1" applyBorder="1" applyAlignment="1">
      <alignment vertical="center" readingOrder="2"/>
    </xf>
    <xf numFmtId="0" fontId="0" fillId="0" borderId="0" xfId="0" applyAlignment="1">
      <alignment wrapText="1"/>
    </xf>
    <xf numFmtId="43" fontId="0" fillId="0" borderId="0" xfId="1" applyFont="1"/>
    <xf numFmtId="0" fontId="0" fillId="0" borderId="1" xfId="0" applyBorder="1" applyAlignment="1">
      <alignment wrapText="1"/>
    </xf>
    <xf numFmtId="43" fontId="0" fillId="0" borderId="0" xfId="1" applyFont="1" applyAlignment="1">
      <alignment horizontal="center" vertical="center" wrapText="1"/>
    </xf>
    <xf numFmtId="43" fontId="0" fillId="0" borderId="0" xfId="1" applyFont="1" applyAlignment="1">
      <alignment wrapText="1"/>
    </xf>
    <xf numFmtId="0" fontId="20" fillId="0" borderId="0" xfId="0" applyFont="1" applyAlignment="1">
      <alignment wrapText="1"/>
    </xf>
    <xf numFmtId="43" fontId="20"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1" fillId="3" borderId="8" xfId="0" applyNumberFormat="1"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43" fontId="21" fillId="3" borderId="10" xfId="1" applyFont="1" applyFill="1" applyBorder="1" applyAlignment="1">
      <alignment horizontal="center" vertical="center" wrapText="1"/>
    </xf>
    <xf numFmtId="4" fontId="21" fillId="3" borderId="11" xfId="1" applyNumberFormat="1" applyFont="1" applyFill="1" applyBorder="1" applyAlignment="1">
      <alignment horizontal="center" vertical="center" wrapText="1"/>
    </xf>
    <xf numFmtId="43" fontId="23" fillId="2" borderId="0" xfId="1" applyFont="1" applyFill="1" applyAlignment="1">
      <alignment horizontal="center" vertical="center" wrapText="1"/>
    </xf>
    <xf numFmtId="9" fontId="23" fillId="2" borderId="0" xfId="11" applyFont="1" applyFill="1" applyAlignment="1">
      <alignment horizontal="center" vertical="center" wrapText="1"/>
    </xf>
    <xf numFmtId="0" fontId="2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43" fontId="0" fillId="0" borderId="1" xfId="1" applyFont="1" applyBorder="1" applyAlignment="1">
      <alignment wrapText="1"/>
    </xf>
    <xf numFmtId="43" fontId="0" fillId="0" borderId="1" xfId="0" applyNumberFormat="1" applyBorder="1" applyAlignment="1">
      <alignment wrapText="1"/>
    </xf>
    <xf numFmtId="4" fontId="3" fillId="0" borderId="1" xfId="1" applyNumberFormat="1" applyFont="1" applyBorder="1" applyAlignment="1">
      <alignment wrapText="1"/>
    </xf>
    <xf numFmtId="0" fontId="3" fillId="0" borderId="0" xfId="0" applyFont="1" applyAlignment="1">
      <alignment wrapText="1"/>
    </xf>
    <xf numFmtId="0" fontId="24" fillId="0" borderId="1" xfId="0" applyFont="1" applyBorder="1" applyAlignment="1">
      <alignment wrapText="1"/>
    </xf>
    <xf numFmtId="43" fontId="24" fillId="0" borderId="1" xfId="1" applyFont="1" applyBorder="1" applyAlignment="1">
      <alignment wrapText="1"/>
    </xf>
    <xf numFmtId="0" fontId="24" fillId="0" borderId="1" xfId="0" applyFont="1" applyBorder="1"/>
    <xf numFmtId="0" fontId="24" fillId="0" borderId="0" xfId="0" applyFont="1" applyAlignment="1">
      <alignment wrapText="1"/>
    </xf>
    <xf numFmtId="2" fontId="3" fillId="0" borderId="8" xfId="0" applyNumberFormat="1" applyFont="1" applyBorder="1" applyAlignment="1">
      <alignment wrapText="1"/>
    </xf>
    <xf numFmtId="0" fontId="3" fillId="0" borderId="8" xfId="0" applyFont="1" applyBorder="1" applyAlignment="1">
      <alignment wrapText="1"/>
    </xf>
    <xf numFmtId="43" fontId="3" fillId="0" borderId="8" xfId="1" applyFont="1" applyBorder="1" applyAlignment="1">
      <alignment wrapText="1"/>
    </xf>
    <xf numFmtId="2" fontId="24" fillId="0" borderId="8" xfId="0" applyNumberFormat="1" applyFont="1" applyBorder="1" applyAlignment="1">
      <alignment wrapText="1"/>
    </xf>
    <xf numFmtId="0" fontId="24" fillId="0" borderId="8" xfId="0" applyFont="1" applyBorder="1" applyAlignment="1">
      <alignment wrapText="1"/>
    </xf>
    <xf numFmtId="43" fontId="24" fillId="0" borderId="8" xfId="1" applyFont="1" applyBorder="1" applyAlignment="1">
      <alignment wrapText="1"/>
    </xf>
    <xf numFmtId="4" fontId="24" fillId="0" borderId="1" xfId="1" applyNumberFormat="1" applyFont="1" applyBorder="1" applyAlignment="1">
      <alignment wrapText="1"/>
    </xf>
    <xf numFmtId="0" fontId="24" fillId="0" borderId="0" xfId="0" applyFont="1"/>
    <xf numFmtId="2" fontId="0" fillId="0" borderId="8" xfId="0" applyNumberFormat="1" applyBorder="1" applyAlignment="1">
      <alignment wrapText="1"/>
    </xf>
    <xf numFmtId="4" fontId="0" fillId="0" borderId="1" xfId="1" applyNumberFormat="1" applyFont="1" applyBorder="1" applyAlignment="1">
      <alignment wrapText="1"/>
    </xf>
    <xf numFmtId="0" fontId="0" fillId="0" borderId="8" xfId="0" applyFill="1" applyBorder="1" applyAlignment="1">
      <alignment wrapText="1"/>
    </xf>
    <xf numFmtId="4" fontId="0" fillId="0" borderId="8" xfId="1" applyNumberFormat="1" applyFont="1" applyBorder="1" applyAlignment="1">
      <alignment wrapText="1"/>
    </xf>
    <xf numFmtId="0" fontId="26" fillId="0" borderId="8" xfId="0" applyFont="1" applyBorder="1" applyAlignment="1">
      <alignment wrapText="1"/>
    </xf>
    <xf numFmtId="0" fontId="0" fillId="0" borderId="1" xfId="0" applyBorder="1"/>
    <xf numFmtId="0" fontId="1" fillId="0" borderId="8" xfId="0" applyFont="1" applyBorder="1" applyAlignment="1">
      <alignment wrapText="1"/>
    </xf>
    <xf numFmtId="43" fontId="1" fillId="0" borderId="8" xfId="1" applyFont="1" applyBorder="1" applyAlignment="1">
      <alignment wrapText="1"/>
    </xf>
    <xf numFmtId="0" fontId="1" fillId="0" borderId="0" xfId="0" applyFont="1"/>
    <xf numFmtId="2" fontId="27" fillId="0" borderId="12" xfId="0" applyNumberFormat="1" applyFont="1" applyBorder="1" applyAlignment="1">
      <alignment wrapText="1"/>
    </xf>
    <xf numFmtId="0" fontId="24" fillId="0" borderId="8" xfId="0" applyFont="1" applyBorder="1" applyAlignment="1">
      <alignment horizontal="right" wrapText="1"/>
    </xf>
    <xf numFmtId="0" fontId="24" fillId="0" borderId="12" xfId="0" applyFont="1" applyBorder="1" applyAlignment="1">
      <alignment wrapText="1"/>
    </xf>
    <xf numFmtId="43" fontId="24" fillId="0" borderId="12" xfId="1" applyFont="1" applyBorder="1" applyAlignment="1">
      <alignment wrapText="1"/>
    </xf>
    <xf numFmtId="4" fontId="24" fillId="0" borderId="8" xfId="0" applyNumberFormat="1" applyFont="1" applyBorder="1" applyAlignment="1">
      <alignment wrapText="1"/>
    </xf>
    <xf numFmtId="0" fontId="28" fillId="0" borderId="0" xfId="0" applyFont="1"/>
    <xf numFmtId="0" fontId="3" fillId="0" borderId="1" xfId="0" applyFont="1" applyBorder="1"/>
    <xf numFmtId="43" fontId="20" fillId="0" borderId="0" xfId="0" applyNumberFormat="1" applyFont="1"/>
  </cellXfs>
  <cellStyles count="13">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Normal 8" xfId="12" xr:uid="{9E704763-5DE6-44DD-AF20-F9845AED0C6C}"/>
    <cellStyle name="Percent" xfId="11" builtinId="5"/>
  </cellStyles>
  <dxfs count="53">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u val="none"/>
        <sz val="11"/>
        <color rgb="FFFF0000"/>
        <name val="David"/>
      </font>
    </dxf>
    <dxf>
      <alignment horizontal="center" vertical="center" textRotation="0" wrapText="0" shrinkToFit="0" readingOrder="0"/>
    </dxf>
    <dxf>
      <numFmt numFmtId="35" formatCode="_ * #,##0.00_ ;_ * \-#,##0.00_ ;_ * &quot;-&quot;??_ ;_ @_ "/>
    </dxf>
    <dxf>
      <numFmt numFmtId="35" formatCode="_ * #,##0.00_ ;_ * \-#,##0.00_ ;_ * &quot;-&quot;??_ ;_ @_ "/>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charset val="177"/>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5" formatCode="_ * #,##0.00_ ;_ * \-#,##0.00_ ;_ * &quot;-&quot;??_ ;_ @_ "/>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a.v/Desktop/&#1511;&#1493;&#1489;&#1509;%20&#1492;&#1495;&#1512;&#1490;&#1493;&#1514;%202021-%20&#1497;&#1493;&#1504;&#14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493;&#1506;&#1491;&#1514;%20&#1495;&#1512;&#1497;&#1490;&#1497;&#1501;\&#1493;&#1506;&#1491;&#1514;%20&#1495;&#1512;&#1497;&#1490;&#1497;&#1501;%202021\&#1508;&#1506;&#1497;&#1500;&#1493;&#1514;%20&#1502;&#1493;&#1500;%20&#1493;&#1506;&#1491;&#1514;%20&#1495;&#1512;&#1497;&#1490;&#1497;&#1501;%20&#1489;&#1502;&#1513;&#1512;&#1491;%20&#1492;&#1488;&#1493;&#1510;&#1512;%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 val="סיווגי הערכה +GL"/>
      <sheetName val="קובץ החרגות 2021- יוני"/>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וח פניות לאוצר 2020"/>
      <sheetName val="דוח פניות לאוצר 2021"/>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4FB5D5-0DC6-4293-8D97-355D68A019BA}" name="Table13323232352424" displayName="Table13323232352424" ref="A7:D17" totalsRowShown="0" headerRowDxfId="52">
  <autoFilter ref="A7:D17" xr:uid="{00000000-0009-0000-0100-000001000000}"/>
  <sortState xmlns:xlrd2="http://schemas.microsoft.com/office/spreadsheetml/2017/richdata2" ref="A8:D17">
    <sortCondition ref="D7:D17"/>
  </sortState>
  <tableColumns count="4">
    <tableColumn id="1" xr3:uid="{6ABE2223-10BA-4E4E-AF00-7F4482968F9B}" name="מס" dataDxfId="51" totalsRowDxfId="50"/>
    <tableColumn id="2" xr3:uid="{2D0E1205-A1B0-4D6E-985F-2E67A9AC8A7B}" name="ספק" dataDxfId="49" totalsRowDxfId="48"/>
    <tableColumn id="3" xr3:uid="{74430093-CEB4-4A14-BA7B-D488C1A45703}" name="נושא ההתקשרות" dataDxfId="47" totalsRowDxfId="46"/>
    <tableColumn id="4" xr3:uid="{4C5FB48C-0732-4C60-B28B-E2CBB0F17255}" name="סכום ההתקשרות (סכום ההתקשרות ולא סכום המזומן)" dataDxfId="45"/>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37" totalsRowCount="1" headerRowDxfId="44" totalsRowDxfId="43" totalsRowBorderDxfId="42" headerRowCellStyle="Comma">
  <autoFilter ref="A1:O36" xr:uid="{00000000-0009-0000-0100-000001000000}">
    <filterColumn colId="10">
      <filters>
        <filter val="369010251"/>
      </filters>
    </filterColumn>
  </autoFilter>
  <tableColumns count="15">
    <tableColumn id="1" xr3:uid="{3CB35F64-4895-4E43-A017-CD430BFD0AAC}" name="23.00" dataDxfId="41" totalsRowDxfId="40"/>
    <tableColumn id="2" xr3:uid="{E0EF0061-9D6E-4EA0-951A-543A78971054}" name="שם הספק " dataDxfId="39" totalsRowDxfId="38"/>
    <tableColumn id="3" xr3:uid="{B9494E87-B48A-45EB-BFE4-02C4CE5A79ED}" name="מטרת ההתקשרות " dataDxfId="37" totalsRowDxfId="36"/>
    <tableColumn id="4" xr3:uid="{AE2BF67C-A96D-48C8-81E4-15985CF61F94}" name="סכום מבוקש בש&quot;ח כולל מעמ!!" dataDxfId="35" totalsRowDxfId="34" dataCellStyle="Comma" totalsRowCellStyle="Comma"/>
    <tableColumn id="5" xr3:uid="{0D975C3F-2880-4EE3-BB57-E775998ACF5D}" name="סכום התקשרות מצטבר מול הספק (אם רלוונטי)" dataDxfId="33" totalsRowDxfId="32" dataCellStyle="Comma" totalsRowCellStyle="Comma"/>
    <tableColumn id="6" xr3:uid="{5DFC74E0-289F-44A7-B747-6D26434BF84E}" name="יתרה מתקרת ההתקשרות" dataDxfId="31" totalsRowDxfId="30"/>
    <tableColumn id="7" xr3:uid="{8C752036-2A0B-4CE3-9EE1-1EFDEC1BDD08}" name="אושר בוועדת חריגים (אם כן, לציין מס פנייה ותאריך אישור)" dataDxfId="29" totalsRowDxfId="28"/>
    <tableColumn id="8" xr3:uid="{42CB213B-9B58-46B5-A4C3-E7AC44F545E6}" name="אושר בוועדת מכרזים (אם כן, לציין תאריך דיון)" dataDxfId="27" totalsRowDxfId="26"/>
    <tableColumn id="9" xr3:uid="{C5A2CEF8-45CD-4DC3-8CEB-BA3719BB839E}" name="תקנה/ פריט התחייבות" dataDxfId="25" totalsRowDxfId="24"/>
    <tableColumn id="10" xr3:uid="{E8696322-7DB9-4E4F-8FEC-CCFC7C1E0DED}" name="שם תקנה" dataDxfId="23" totalsRowDxfId="22"/>
    <tableColumn id="11" xr3:uid="{990FCFAF-4B96-49B6-9ABC-1EC26E0D458A}" name="מרכז קרנות" dataDxfId="21" totalsRowDxfId="20"/>
    <tableColumn id="12" xr3:uid="{D2685F56-9559-4BCB-9C42-E1783937F29B}" name="שם מרכז קרנות" dataDxfId="19" totalsRowDxfId="18"/>
    <tableColumn id="16" xr3:uid="{47B6589E-02A1-4CBF-8185-5C0BFBF8E50F}" name="נוצרה/ הוגדלה התחייבות מספר" dataDxfId="17" totalsRowDxfId="16"/>
    <tableColumn id="17" xr3:uid="{E8C11108-0D61-45B2-B9EC-2B58AB4CBE93}" name="שווי שורה/ הגדלה " totalsRowFunction="sum" dataDxfId="15" totalsRowDxfId="14" dataCellStyle="Comma" totalsRowCellStyle="Comma"/>
    <tableColumn id="18" xr3:uid="{357D6823-DA9C-4E5F-9140-B02D30CFCD74}" name="הפרש יתרה שלא נוצלה מהחרגה" dataDxfId="13" totalsRowDxfId="12" dataCellStyle="Comma" totalsRowCellStyle="Comma"/>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1" totalsRowShown="0" headerRowDxfId="11">
  <autoFilter ref="A1:J11"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DxfId="10" dataCellStyle="Comma">
      <calculatedColumnFormula>[4]!טבלה3[[#This Row],[סכום מבוקש]]-[4]!טבלה3[[#This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DxfId="9" dataCellStyle="Comma">
      <calculatedColumnFormula>[4]!טבלה3[[#This Row],[סכום מאושר]]-[4]!טבלה3[[#This Row],[ניצול מתוך הפנייה ]]</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CD5A6B-4192-4B6D-BB85-16BABCF1EE13}" name="Table133232323524242" displayName="Table133232323524242" ref="A7:D23" totalsRowCount="1" headerRowDxfId="8">
  <autoFilter ref="A7:D22" xr:uid="{00000000-0009-0000-0100-000001000000}"/>
  <sortState xmlns:xlrd2="http://schemas.microsoft.com/office/spreadsheetml/2017/richdata2" ref="A8:D22">
    <sortCondition ref="D7:D22"/>
  </sortState>
  <tableColumns count="4">
    <tableColumn id="1" xr3:uid="{CA0384C5-15F2-4FFB-BC55-80B093548943}" name="מס" dataDxfId="7" totalsRowDxfId="6"/>
    <tableColumn id="2" xr3:uid="{B0616EFC-FC48-45C5-8AEB-0DCB182F214B}" name="ספק" dataDxfId="5" totalsRowDxfId="4"/>
    <tableColumn id="3" xr3:uid="{CB966672-4869-4397-A46E-5B7E73B91EB3}" name="נושא ההתקשרות" dataDxfId="3" totalsRowDxfId="2"/>
    <tableColumn id="4" xr3:uid="{C5E03441-8A8A-4AD9-A506-7023F69670A5}" name="סכום ההתקשרות (סכום ההתקשרות ולא סכום המזומן)" totalsRowFunction="sum" dataDxfId="1" totalsRow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E28A-7E96-47E0-9BA4-544690F1DCA2}">
  <dimension ref="A1:F17"/>
  <sheetViews>
    <sheetView rightToLeft="1" workbookViewId="0">
      <pane xSplit="4" ySplit="7" topLeftCell="E8" activePane="bottomRight" state="frozen"/>
      <selection pane="topRight" activeCell="E1" sqref="E1"/>
      <selection pane="bottomLeft" activeCell="A8" sqref="A8"/>
      <selection pane="bottomRight" activeCell="C29" sqref="C29"/>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62</v>
      </c>
      <c r="F2"/>
    </row>
    <row r="3" spans="1:6" s="3" customFormat="1" ht="15.75" x14ac:dyDescent="0.25">
      <c r="C3" s="20"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63</v>
      </c>
      <c r="D6" s="11"/>
      <c r="F6"/>
    </row>
    <row r="7" spans="1:6" ht="28.5" x14ac:dyDescent="0.2">
      <c r="A7" s="12" t="s">
        <v>2</v>
      </c>
      <c r="B7" s="12" t="s">
        <v>3</v>
      </c>
      <c r="C7" s="12" t="s">
        <v>4</v>
      </c>
      <c r="D7" s="13" t="s">
        <v>5</v>
      </c>
    </row>
    <row r="8" spans="1:6" s="17" customFormat="1" ht="15" x14ac:dyDescent="0.25">
      <c r="A8" s="14">
        <v>1</v>
      </c>
      <c r="B8" s="26"/>
      <c r="C8" s="26" t="s">
        <v>67</v>
      </c>
      <c r="D8" s="27">
        <v>1608.75</v>
      </c>
    </row>
    <row r="9" spans="1:6" s="17" customFormat="1" ht="15" x14ac:dyDescent="0.25">
      <c r="A9" s="14">
        <v>2</v>
      </c>
      <c r="B9" s="26"/>
      <c r="C9" s="26" t="s">
        <v>70</v>
      </c>
      <c r="D9" s="27">
        <v>7424.75</v>
      </c>
    </row>
    <row r="10" spans="1:6" s="17" customFormat="1" ht="15" x14ac:dyDescent="0.25">
      <c r="A10" s="14">
        <v>3</v>
      </c>
      <c r="B10" s="26"/>
      <c r="C10" s="26" t="s">
        <v>71</v>
      </c>
      <c r="D10" s="27">
        <v>22230</v>
      </c>
    </row>
    <row r="11" spans="1:6" s="17" customFormat="1" ht="15" x14ac:dyDescent="0.25">
      <c r="A11" s="14">
        <v>4</v>
      </c>
      <c r="B11" s="15"/>
      <c r="C11" s="15" t="s">
        <v>75</v>
      </c>
      <c r="D11" s="27">
        <v>40000</v>
      </c>
    </row>
    <row r="12" spans="1:6" s="17" customFormat="1" ht="15" x14ac:dyDescent="0.25">
      <c r="A12" s="14">
        <v>5</v>
      </c>
      <c r="B12" s="15"/>
      <c r="C12" s="15" t="s">
        <v>13</v>
      </c>
      <c r="D12" s="27">
        <v>89284.84</v>
      </c>
    </row>
    <row r="13" spans="1:6" s="17" customFormat="1" ht="15" x14ac:dyDescent="0.25">
      <c r="A13" s="14">
        <v>6</v>
      </c>
      <c r="B13" s="15"/>
      <c r="C13" s="19" t="s">
        <v>74</v>
      </c>
      <c r="D13" s="27">
        <v>120000</v>
      </c>
    </row>
    <row r="14" spans="1:6" s="17" customFormat="1" ht="15" x14ac:dyDescent="0.25">
      <c r="A14" s="14">
        <v>7</v>
      </c>
      <c r="B14" s="15"/>
      <c r="C14" s="15" t="s">
        <v>73</v>
      </c>
      <c r="D14" s="27">
        <v>175000</v>
      </c>
    </row>
    <row r="15" spans="1:6" s="17" customFormat="1" ht="15" x14ac:dyDescent="0.25">
      <c r="A15" s="14">
        <v>8</v>
      </c>
      <c r="B15" s="15"/>
      <c r="C15" s="15" t="s">
        <v>76</v>
      </c>
      <c r="D15" s="27">
        <v>183000</v>
      </c>
    </row>
    <row r="16" spans="1:6" ht="15" x14ac:dyDescent="0.25">
      <c r="A16" s="14">
        <v>9</v>
      </c>
      <c r="B16" s="15"/>
      <c r="C16" s="15" t="s">
        <v>72</v>
      </c>
      <c r="D16" s="27">
        <v>449071.74099999992</v>
      </c>
    </row>
    <row r="17" spans="1:4" ht="15" x14ac:dyDescent="0.25">
      <c r="A17" s="14"/>
      <c r="B17" s="26"/>
      <c r="C17" s="26"/>
      <c r="D17" s="16">
        <f>SUBTOTAL(109,D8:D16)</f>
        <v>1087620.0809999998</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T37"/>
  <sheetViews>
    <sheetView rightToLeft="1" zoomScale="80" zoomScaleNormal="80" workbookViewId="0">
      <pane ySplit="1" topLeftCell="A2" activePane="bottomLeft" state="frozen"/>
      <selection pane="bottomLeft" activeCell="N37" sqref="N37"/>
    </sheetView>
  </sheetViews>
  <sheetFormatPr defaultColWidth="9" defaultRowHeight="14.25" x14ac:dyDescent="0.2"/>
  <cols>
    <col min="1" max="1" width="6.875" style="42" customWidth="1"/>
    <col min="2" max="2" width="22.5" style="21" customWidth="1"/>
    <col min="3" max="3" width="31.5" style="21" customWidth="1"/>
    <col min="4" max="4" width="15.75" style="25" customWidth="1"/>
    <col min="5" max="5" width="15.125" style="25" hidden="1" customWidth="1"/>
    <col min="6" max="6" width="12.625" style="21" hidden="1" customWidth="1"/>
    <col min="7" max="7" width="16.25" style="21" hidden="1" customWidth="1"/>
    <col min="8" max="8" width="18.75" style="21" hidden="1" customWidth="1"/>
    <col min="9" max="12" width="18.75" style="21" customWidth="1"/>
    <col min="13" max="13" width="21.125" style="21" bestFit="1" customWidth="1"/>
    <col min="14" max="14" width="14" style="25" bestFit="1" customWidth="1"/>
    <col min="15" max="15" width="18" style="41" bestFit="1" customWidth="1"/>
    <col min="16" max="16" width="8.625" style="21" customWidth="1"/>
    <col min="17" max="17" width="9" style="21"/>
    <col min="18" max="19" width="13.5" style="21" hidden="1" customWidth="1"/>
    <col min="20" max="20" width="11.375" style="21" hidden="1" customWidth="1"/>
    <col min="21" max="16384" width="9" style="21"/>
  </cols>
  <sheetData>
    <row r="1" spans="1:20" s="40" customFormat="1" ht="45" x14ac:dyDescent="0.2">
      <c r="A1" s="33" t="s">
        <v>61</v>
      </c>
      <c r="B1" s="34" t="s">
        <v>6</v>
      </c>
      <c r="C1" s="35" t="s">
        <v>50</v>
      </c>
      <c r="D1" s="36" t="s">
        <v>7</v>
      </c>
      <c r="E1" s="36" t="s">
        <v>51</v>
      </c>
      <c r="F1" s="35" t="s">
        <v>52</v>
      </c>
      <c r="G1" s="35" t="s">
        <v>53</v>
      </c>
      <c r="H1" s="35" t="s">
        <v>54</v>
      </c>
      <c r="I1" s="35" t="s">
        <v>8</v>
      </c>
      <c r="J1" s="35" t="s">
        <v>9</v>
      </c>
      <c r="K1" s="35" t="s">
        <v>10</v>
      </c>
      <c r="L1" s="35" t="s">
        <v>11</v>
      </c>
      <c r="M1" s="35" t="s">
        <v>55</v>
      </c>
      <c r="N1" s="36" t="s">
        <v>56</v>
      </c>
      <c r="O1" s="37" t="s">
        <v>57</v>
      </c>
      <c r="P1" s="38">
        <v>200000</v>
      </c>
      <c r="Q1" s="39">
        <v>0.17</v>
      </c>
      <c r="R1" s="40" t="s">
        <v>58</v>
      </c>
      <c r="S1" s="40" t="s">
        <v>59</v>
      </c>
      <c r="T1" s="40" t="s">
        <v>60</v>
      </c>
    </row>
    <row r="2" spans="1:20" s="50" customFormat="1" hidden="1" x14ac:dyDescent="0.2">
      <c r="A2" s="54">
        <v>1.06</v>
      </c>
      <c r="B2" s="55" t="s">
        <v>77</v>
      </c>
      <c r="C2" s="55" t="s">
        <v>78</v>
      </c>
      <c r="D2" s="56">
        <v>45182</v>
      </c>
      <c r="E2" s="31"/>
      <c r="F2" s="32">
        <f t="shared" ref="F2:F22" si="0">$P$1-E2</f>
        <v>200000</v>
      </c>
      <c r="G2" s="30"/>
      <c r="H2" s="30"/>
      <c r="I2" s="49">
        <v>38300191</v>
      </c>
      <c r="J2" s="49" t="s">
        <v>12</v>
      </c>
      <c r="K2" s="49">
        <v>3690114</v>
      </c>
      <c r="L2" s="49" t="s">
        <v>79</v>
      </c>
      <c r="M2" s="55">
        <v>4501851655</v>
      </c>
      <c r="N2" s="56">
        <v>45182</v>
      </c>
      <c r="O2" s="57">
        <f t="shared" ref="O2:O34" si="1">D2-N2</f>
        <v>0</v>
      </c>
      <c r="R2" s="21"/>
      <c r="S2" s="21"/>
      <c r="T2" s="21"/>
    </row>
    <row r="3" spans="1:20" s="50" customFormat="1" ht="15" hidden="1" x14ac:dyDescent="0.25">
      <c r="A3" s="68" t="s">
        <v>80</v>
      </c>
      <c r="B3" s="55" t="s">
        <v>81</v>
      </c>
      <c r="C3" s="55" t="s">
        <v>82</v>
      </c>
      <c r="D3" s="56">
        <f>39900*1.17</f>
        <v>46683</v>
      </c>
      <c r="E3" s="31"/>
      <c r="F3" s="32">
        <f t="shared" si="0"/>
        <v>200000</v>
      </c>
      <c r="G3" s="30"/>
      <c r="H3" s="30" t="s">
        <v>83</v>
      </c>
      <c r="I3" s="47">
        <v>38300191</v>
      </c>
      <c r="J3" s="47" t="s">
        <v>12</v>
      </c>
      <c r="K3" s="47">
        <v>3690112</v>
      </c>
      <c r="L3" s="47" t="s">
        <v>23</v>
      </c>
      <c r="M3" s="55">
        <v>4502015925</v>
      </c>
      <c r="N3" s="56">
        <f>39900*1.17</f>
        <v>46683</v>
      </c>
      <c r="O3" s="57">
        <f t="shared" si="1"/>
        <v>0</v>
      </c>
      <c r="R3" s="21"/>
      <c r="S3" s="21"/>
      <c r="T3" s="21"/>
    </row>
    <row r="4" spans="1:20" s="50" customFormat="1" hidden="1" x14ac:dyDescent="0.2">
      <c r="A4" s="54" t="s">
        <v>80</v>
      </c>
      <c r="B4" s="70" t="s">
        <v>84</v>
      </c>
      <c r="C4" s="70" t="s">
        <v>85</v>
      </c>
      <c r="D4" s="71">
        <f>1725*3.5</f>
        <v>6037.5</v>
      </c>
      <c r="E4" s="66"/>
      <c r="F4" s="32">
        <f t="shared" si="0"/>
        <v>200000</v>
      </c>
      <c r="G4" s="65"/>
      <c r="H4" s="65"/>
      <c r="I4" s="47">
        <v>38300191</v>
      </c>
      <c r="J4" s="47" t="s">
        <v>12</v>
      </c>
      <c r="K4" s="47">
        <v>36901021</v>
      </c>
      <c r="L4" s="47" t="s">
        <v>15</v>
      </c>
      <c r="M4" s="55">
        <v>4502038633</v>
      </c>
      <c r="N4" s="56">
        <v>6562.53</v>
      </c>
      <c r="O4" s="57">
        <f t="shared" si="1"/>
        <v>-525.02999999999975</v>
      </c>
      <c r="R4" s="21"/>
      <c r="S4" s="21"/>
      <c r="T4" s="21"/>
    </row>
    <row r="5" spans="1:20" s="50" customFormat="1" ht="28.5" hidden="1" x14ac:dyDescent="0.2">
      <c r="A5" s="54" t="s">
        <v>80</v>
      </c>
      <c r="B5" s="55" t="s">
        <v>86</v>
      </c>
      <c r="C5" s="55" t="s">
        <v>87</v>
      </c>
      <c r="D5" s="56">
        <v>785</v>
      </c>
      <c r="E5" s="43"/>
      <c r="F5" s="32">
        <f t="shared" si="0"/>
        <v>200000</v>
      </c>
      <c r="G5" s="23"/>
      <c r="H5" s="23"/>
      <c r="I5" s="47">
        <v>38300191</v>
      </c>
      <c r="J5" s="47" t="s">
        <v>12</v>
      </c>
      <c r="K5" s="47">
        <v>36901022</v>
      </c>
      <c r="L5" s="47" t="s">
        <v>16</v>
      </c>
      <c r="M5" s="47">
        <v>4502023350</v>
      </c>
      <c r="N5" s="48">
        <v>785</v>
      </c>
      <c r="O5" s="57">
        <f t="shared" si="1"/>
        <v>0</v>
      </c>
      <c r="R5" s="21"/>
      <c r="S5" s="21"/>
      <c r="T5" s="21"/>
    </row>
    <row r="6" spans="1:20" s="50" customFormat="1" ht="28.5" hidden="1" x14ac:dyDescent="0.2">
      <c r="A6" s="54" t="s">
        <v>80</v>
      </c>
      <c r="B6" s="58" t="s">
        <v>88</v>
      </c>
      <c r="C6" s="55" t="s">
        <v>89</v>
      </c>
      <c r="D6" s="56">
        <v>9200</v>
      </c>
      <c r="E6" s="43"/>
      <c r="F6" s="32">
        <f t="shared" si="0"/>
        <v>200000</v>
      </c>
      <c r="G6" s="23"/>
      <c r="H6" s="23"/>
      <c r="I6" s="47">
        <v>38300191</v>
      </c>
      <c r="J6" s="47" t="s">
        <v>12</v>
      </c>
      <c r="K6" s="47">
        <v>3690112</v>
      </c>
      <c r="L6" s="47" t="s">
        <v>23</v>
      </c>
      <c r="M6" s="47">
        <v>4502037817</v>
      </c>
      <c r="N6" s="48">
        <v>9200</v>
      </c>
      <c r="O6" s="57">
        <f t="shared" si="1"/>
        <v>0</v>
      </c>
      <c r="R6" s="21"/>
      <c r="S6" s="21"/>
      <c r="T6" s="21"/>
    </row>
    <row r="7" spans="1:20" s="50" customFormat="1" hidden="1" x14ac:dyDescent="0.2">
      <c r="A7" s="54" t="s">
        <v>80</v>
      </c>
      <c r="B7" s="55" t="s">
        <v>90</v>
      </c>
      <c r="C7" s="55" t="s">
        <v>91</v>
      </c>
      <c r="D7" s="56">
        <v>2340</v>
      </c>
      <c r="E7" s="43"/>
      <c r="F7" s="32">
        <f t="shared" si="0"/>
        <v>200000</v>
      </c>
      <c r="G7" s="23"/>
      <c r="H7" s="23"/>
      <c r="I7" s="49">
        <v>38300191</v>
      </c>
      <c r="J7" s="49" t="s">
        <v>12</v>
      </c>
      <c r="K7" s="49">
        <v>36901024</v>
      </c>
      <c r="L7" s="49" t="s">
        <v>13</v>
      </c>
      <c r="M7" s="47">
        <v>4502037966</v>
      </c>
      <c r="N7" s="48">
        <v>2340</v>
      </c>
      <c r="O7" s="57">
        <f t="shared" si="1"/>
        <v>0</v>
      </c>
      <c r="R7" s="21"/>
      <c r="S7" s="21"/>
      <c r="T7" s="21"/>
    </row>
    <row r="8" spans="1:20" x14ac:dyDescent="0.2">
      <c r="A8" s="59">
        <v>3.06</v>
      </c>
      <c r="B8" s="30" t="s">
        <v>92</v>
      </c>
      <c r="C8" s="30" t="s">
        <v>93</v>
      </c>
      <c r="D8" s="31">
        <v>5265</v>
      </c>
      <c r="E8" s="31"/>
      <c r="F8" s="32">
        <f t="shared" si="0"/>
        <v>200000</v>
      </c>
      <c r="G8" s="30"/>
      <c r="H8" s="30"/>
      <c r="I8" s="64">
        <v>38300191</v>
      </c>
      <c r="J8" s="64" t="s">
        <v>12</v>
      </c>
      <c r="K8" s="64">
        <v>369010251</v>
      </c>
      <c r="L8" s="64" t="s">
        <v>94</v>
      </c>
      <c r="M8" s="30">
        <v>4502038974</v>
      </c>
      <c r="N8" s="31">
        <v>5265</v>
      </c>
      <c r="O8" s="60">
        <f t="shared" si="1"/>
        <v>0</v>
      </c>
    </row>
    <row r="9" spans="1:20" s="50" customFormat="1" hidden="1" x14ac:dyDescent="0.2">
      <c r="A9" s="54">
        <v>3.06</v>
      </c>
      <c r="B9" s="55" t="s">
        <v>95</v>
      </c>
      <c r="C9" s="55" t="s">
        <v>67</v>
      </c>
      <c r="D9" s="56">
        <v>11700</v>
      </c>
      <c r="E9" s="31"/>
      <c r="F9" s="32">
        <f t="shared" si="0"/>
        <v>200000</v>
      </c>
      <c r="G9" s="30"/>
      <c r="H9" s="30"/>
      <c r="I9" s="49">
        <v>38300191</v>
      </c>
      <c r="J9" s="49" t="s">
        <v>12</v>
      </c>
      <c r="K9" s="49">
        <v>36901024</v>
      </c>
      <c r="L9" s="49" t="s">
        <v>13</v>
      </c>
      <c r="M9" s="55">
        <v>4502038320</v>
      </c>
      <c r="N9" s="56">
        <v>11700</v>
      </c>
      <c r="O9" s="57">
        <f t="shared" si="1"/>
        <v>0</v>
      </c>
      <c r="R9" s="21"/>
      <c r="S9" s="21"/>
      <c r="T9" s="21"/>
    </row>
    <row r="10" spans="1:20" s="50" customFormat="1" ht="28.5" hidden="1" x14ac:dyDescent="0.2">
      <c r="A10" s="54">
        <v>6.06</v>
      </c>
      <c r="B10" s="55" t="s">
        <v>96</v>
      </c>
      <c r="C10" s="55" t="s">
        <v>97</v>
      </c>
      <c r="D10" s="56">
        <v>643.5</v>
      </c>
      <c r="E10" s="31"/>
      <c r="F10" s="32">
        <f t="shared" si="0"/>
        <v>200000</v>
      </c>
      <c r="G10" s="30" t="s">
        <v>68</v>
      </c>
      <c r="H10" s="30"/>
      <c r="I10" s="47">
        <v>38300191</v>
      </c>
      <c r="J10" s="47" t="s">
        <v>12</v>
      </c>
      <c r="K10" s="47">
        <v>36901022</v>
      </c>
      <c r="L10" s="47" t="s">
        <v>16</v>
      </c>
      <c r="M10" s="55">
        <v>4502038572</v>
      </c>
      <c r="N10" s="56">
        <v>643.5</v>
      </c>
      <c r="O10" s="57">
        <f t="shared" si="1"/>
        <v>0</v>
      </c>
      <c r="R10" s="21"/>
      <c r="S10" s="21"/>
      <c r="T10" s="21"/>
    </row>
    <row r="11" spans="1:20" s="50" customFormat="1" hidden="1" x14ac:dyDescent="0.2">
      <c r="A11" s="54">
        <v>9.06</v>
      </c>
      <c r="B11" s="55" t="s">
        <v>98</v>
      </c>
      <c r="C11" s="55" t="s">
        <v>99</v>
      </c>
      <c r="D11" s="56">
        <v>36000</v>
      </c>
      <c r="E11" s="31"/>
      <c r="F11" s="32">
        <f t="shared" si="0"/>
        <v>200000</v>
      </c>
      <c r="G11" s="30"/>
      <c r="H11" s="30"/>
      <c r="I11" s="47">
        <v>38300191</v>
      </c>
      <c r="J11" s="47" t="s">
        <v>12</v>
      </c>
      <c r="K11" s="47">
        <v>36901021</v>
      </c>
      <c r="L11" s="47" t="s">
        <v>15</v>
      </c>
      <c r="M11" s="58">
        <v>4502039122</v>
      </c>
      <c r="N11" s="56">
        <v>36017.279999999999</v>
      </c>
      <c r="O11" s="57">
        <f t="shared" si="1"/>
        <v>-17.279999999998836</v>
      </c>
      <c r="R11" s="21"/>
      <c r="S11" s="21"/>
      <c r="T11" s="21"/>
    </row>
    <row r="12" spans="1:20" s="50" customFormat="1" hidden="1" x14ac:dyDescent="0.2">
      <c r="A12" s="54">
        <v>9.06</v>
      </c>
      <c r="B12" s="55" t="s">
        <v>66</v>
      </c>
      <c r="C12" s="55" t="s">
        <v>100</v>
      </c>
      <c r="D12" s="56">
        <v>55360.6</v>
      </c>
      <c r="E12" s="31"/>
      <c r="F12" s="32">
        <f t="shared" si="0"/>
        <v>200000</v>
      </c>
      <c r="G12" s="30"/>
      <c r="H12" s="30" t="s">
        <v>101</v>
      </c>
      <c r="I12" s="47">
        <v>38300191</v>
      </c>
      <c r="J12" s="47" t="s">
        <v>12</v>
      </c>
      <c r="K12" s="47">
        <v>36901021</v>
      </c>
      <c r="L12" s="47" t="s">
        <v>15</v>
      </c>
      <c r="M12" s="55">
        <v>4501982679</v>
      </c>
      <c r="N12" s="56">
        <v>55360.6</v>
      </c>
      <c r="O12" s="57">
        <f t="shared" si="1"/>
        <v>0</v>
      </c>
      <c r="R12" s="21"/>
      <c r="S12" s="21"/>
      <c r="T12" s="21"/>
    </row>
    <row r="13" spans="1:20" s="50" customFormat="1" hidden="1" x14ac:dyDescent="0.2">
      <c r="A13" s="54">
        <v>10.06</v>
      </c>
      <c r="B13" s="55" t="s">
        <v>102</v>
      </c>
      <c r="C13" s="55" t="s">
        <v>103</v>
      </c>
      <c r="D13" s="56">
        <v>1287</v>
      </c>
      <c r="E13" s="31"/>
      <c r="F13" s="32">
        <f t="shared" si="0"/>
        <v>200000</v>
      </c>
      <c r="G13" s="30"/>
      <c r="H13" s="30"/>
      <c r="I13" s="47">
        <v>38300191</v>
      </c>
      <c r="J13" s="47" t="s">
        <v>12</v>
      </c>
      <c r="K13" s="47">
        <v>3690112</v>
      </c>
      <c r="L13" s="47" t="s">
        <v>23</v>
      </c>
      <c r="M13" s="55">
        <v>4502040501</v>
      </c>
      <c r="N13" s="56">
        <v>1287</v>
      </c>
      <c r="O13" s="57">
        <f t="shared" si="1"/>
        <v>0</v>
      </c>
      <c r="R13" s="21"/>
      <c r="S13" s="21"/>
      <c r="T13" s="21"/>
    </row>
    <row r="14" spans="1:20" s="50" customFormat="1" hidden="1" x14ac:dyDescent="0.2">
      <c r="A14" s="54">
        <v>13.06</v>
      </c>
      <c r="B14" s="55" t="s">
        <v>104</v>
      </c>
      <c r="C14" s="55" t="s">
        <v>105</v>
      </c>
      <c r="D14" s="56">
        <v>838.79</v>
      </c>
      <c r="E14" s="31"/>
      <c r="F14" s="32">
        <f t="shared" si="0"/>
        <v>200000</v>
      </c>
      <c r="G14" s="30"/>
      <c r="H14" s="30"/>
      <c r="I14" s="49">
        <v>38300191</v>
      </c>
      <c r="J14" s="49" t="s">
        <v>12</v>
      </c>
      <c r="K14" s="49">
        <v>36901024</v>
      </c>
      <c r="L14" s="49" t="s">
        <v>13</v>
      </c>
      <c r="M14" s="55">
        <v>4502041436</v>
      </c>
      <c r="N14" s="56">
        <v>838.8</v>
      </c>
      <c r="O14" s="57">
        <f t="shared" si="1"/>
        <v>-9.9999999999909051E-3</v>
      </c>
      <c r="R14" s="21"/>
      <c r="S14" s="21"/>
      <c r="T14" s="21"/>
    </row>
    <row r="15" spans="1:20" s="50" customFormat="1" hidden="1" x14ac:dyDescent="0.2">
      <c r="A15" s="54">
        <v>13.06</v>
      </c>
      <c r="B15" s="55" t="s">
        <v>106</v>
      </c>
      <c r="C15" s="55" t="s">
        <v>107</v>
      </c>
      <c r="D15" s="56">
        <f>15600*1.17</f>
        <v>18252</v>
      </c>
      <c r="E15" s="31"/>
      <c r="F15" s="32">
        <f t="shared" si="0"/>
        <v>200000</v>
      </c>
      <c r="G15" s="30"/>
      <c r="H15" s="30"/>
      <c r="I15" s="47">
        <v>38300191</v>
      </c>
      <c r="J15" s="47" t="s">
        <v>12</v>
      </c>
      <c r="K15" s="47">
        <v>3690112</v>
      </c>
      <c r="L15" s="47" t="s">
        <v>23</v>
      </c>
      <c r="M15" s="55">
        <v>4502043135</v>
      </c>
      <c r="N15" s="56">
        <v>18252</v>
      </c>
      <c r="O15" s="57">
        <f t="shared" si="1"/>
        <v>0</v>
      </c>
      <c r="R15" s="21"/>
      <c r="S15" s="21"/>
      <c r="T15" s="21"/>
    </row>
    <row r="16" spans="1:20" s="50" customFormat="1" ht="28.5" hidden="1" x14ac:dyDescent="0.2">
      <c r="A16" s="54">
        <v>13.06</v>
      </c>
      <c r="B16" s="55" t="s">
        <v>108</v>
      </c>
      <c r="C16" s="55" t="s">
        <v>109</v>
      </c>
      <c r="D16" s="56">
        <v>269594.90999999997</v>
      </c>
      <c r="E16" s="31"/>
      <c r="F16" s="32">
        <f t="shared" si="0"/>
        <v>200000</v>
      </c>
      <c r="G16" s="30"/>
      <c r="H16" s="30" t="s">
        <v>110</v>
      </c>
      <c r="I16" s="47">
        <v>38300191</v>
      </c>
      <c r="J16" s="47" t="s">
        <v>12</v>
      </c>
      <c r="K16" s="47">
        <v>36901021</v>
      </c>
      <c r="L16" s="47" t="s">
        <v>15</v>
      </c>
      <c r="M16" s="55">
        <v>4501813990</v>
      </c>
      <c r="N16" s="56">
        <f>[1]!Table1[[#This Row],[סכום מבוקש בש"ח כולל מעמ!!]]</f>
        <v>6300</v>
      </c>
      <c r="O16" s="57">
        <f t="shared" si="1"/>
        <v>263294.90999999997</v>
      </c>
      <c r="R16" s="21"/>
      <c r="S16" s="21"/>
      <c r="T16" s="21"/>
    </row>
    <row r="17" spans="1:20" s="50" customFormat="1" hidden="1" x14ac:dyDescent="0.2">
      <c r="A17" s="54">
        <v>13.06</v>
      </c>
      <c r="B17" s="58" t="s">
        <v>111</v>
      </c>
      <c r="C17" s="55" t="s">
        <v>112</v>
      </c>
      <c r="D17" s="56">
        <v>50000</v>
      </c>
      <c r="E17" s="31"/>
      <c r="F17" s="32">
        <f t="shared" si="0"/>
        <v>200000</v>
      </c>
      <c r="G17" s="30"/>
      <c r="H17" s="30"/>
      <c r="I17" s="49">
        <v>38300191</v>
      </c>
      <c r="J17" s="49" t="s">
        <v>12</v>
      </c>
      <c r="K17" s="49">
        <v>3690113</v>
      </c>
      <c r="L17" s="49" t="s">
        <v>113</v>
      </c>
      <c r="M17" s="69" t="s">
        <v>114</v>
      </c>
      <c r="N17" s="56">
        <f>21368*1.17</f>
        <v>25000.559999999998</v>
      </c>
      <c r="O17" s="57">
        <f t="shared" si="1"/>
        <v>24999.440000000002</v>
      </c>
      <c r="R17" s="21"/>
      <c r="S17" s="21"/>
      <c r="T17" s="21"/>
    </row>
    <row r="18" spans="1:20" s="50" customFormat="1" hidden="1" x14ac:dyDescent="0.2">
      <c r="A18" s="54">
        <v>13.06</v>
      </c>
      <c r="B18" s="58" t="s">
        <v>115</v>
      </c>
      <c r="C18" s="55" t="s">
        <v>112</v>
      </c>
      <c r="D18" s="56">
        <v>50000</v>
      </c>
      <c r="E18" s="43"/>
      <c r="F18" s="44">
        <f t="shared" si="0"/>
        <v>200000</v>
      </c>
      <c r="G18" s="23"/>
      <c r="H18" s="23"/>
      <c r="I18" s="49">
        <v>38300191</v>
      </c>
      <c r="J18" s="49" t="s">
        <v>12</v>
      </c>
      <c r="K18" s="49">
        <v>3690113</v>
      </c>
      <c r="L18" s="49" t="s">
        <v>113</v>
      </c>
      <c r="M18" s="55">
        <v>4501952391</v>
      </c>
      <c r="N18" s="48">
        <f>21368*1.17</f>
        <v>25000.559999999998</v>
      </c>
      <c r="O18" s="57">
        <f t="shared" si="1"/>
        <v>24999.440000000002</v>
      </c>
      <c r="R18" s="21"/>
      <c r="S18" s="21"/>
      <c r="T18" s="21"/>
    </row>
    <row r="19" spans="1:20" s="50" customFormat="1" hidden="1" x14ac:dyDescent="0.2">
      <c r="A19" s="54">
        <v>14.06</v>
      </c>
      <c r="B19" s="55" t="s">
        <v>116</v>
      </c>
      <c r="C19" s="55" t="s">
        <v>117</v>
      </c>
      <c r="D19" s="56">
        <f>520*1.17</f>
        <v>608.4</v>
      </c>
      <c r="E19" s="31"/>
      <c r="F19" s="32">
        <f t="shared" si="0"/>
        <v>200000</v>
      </c>
      <c r="G19" s="30"/>
      <c r="H19" s="30"/>
      <c r="I19" s="49">
        <v>38300191</v>
      </c>
      <c r="J19" s="49" t="s">
        <v>12</v>
      </c>
      <c r="K19" s="49">
        <v>36901024</v>
      </c>
      <c r="L19" s="49" t="s">
        <v>13</v>
      </c>
      <c r="M19" s="55">
        <v>4502042539</v>
      </c>
      <c r="N19" s="56">
        <v>608.4</v>
      </c>
      <c r="O19" s="57">
        <f t="shared" si="1"/>
        <v>0</v>
      </c>
      <c r="R19" s="21"/>
      <c r="S19" s="21"/>
      <c r="T19" s="21"/>
    </row>
    <row r="20" spans="1:20" s="50" customFormat="1" hidden="1" x14ac:dyDescent="0.2">
      <c r="A20" s="54">
        <v>14.06</v>
      </c>
      <c r="B20" s="55" t="s">
        <v>118</v>
      </c>
      <c r="C20" s="55" t="s">
        <v>119</v>
      </c>
      <c r="D20" s="56">
        <f>1656*1.17</f>
        <v>1937.52</v>
      </c>
      <c r="E20" s="31"/>
      <c r="F20" s="32">
        <f t="shared" si="0"/>
        <v>200000</v>
      </c>
      <c r="G20" s="30"/>
      <c r="H20" s="30"/>
      <c r="I20" s="47">
        <v>38300191</v>
      </c>
      <c r="J20" s="47" t="s">
        <v>12</v>
      </c>
      <c r="K20" s="47">
        <v>36901022</v>
      </c>
      <c r="L20" s="47" t="s">
        <v>16</v>
      </c>
      <c r="M20" s="55">
        <v>4502042566</v>
      </c>
      <c r="N20" s="56">
        <v>1937</v>
      </c>
      <c r="O20" s="57">
        <f t="shared" si="1"/>
        <v>0.51999999999998181</v>
      </c>
      <c r="R20" s="21"/>
      <c r="S20" s="21"/>
      <c r="T20" s="21"/>
    </row>
    <row r="21" spans="1:20" s="50" customFormat="1" hidden="1" x14ac:dyDescent="0.2">
      <c r="A21" s="54">
        <v>14.06</v>
      </c>
      <c r="B21" s="55" t="s">
        <v>120</v>
      </c>
      <c r="C21" s="55" t="s">
        <v>121</v>
      </c>
      <c r="D21" s="56">
        <f>2780*1.17</f>
        <v>3252.6</v>
      </c>
      <c r="E21" s="43"/>
      <c r="F21" s="44">
        <f t="shared" si="0"/>
        <v>200000</v>
      </c>
      <c r="G21" s="23"/>
      <c r="H21" s="23"/>
      <c r="I21" s="47">
        <v>38300191</v>
      </c>
      <c r="J21" s="47" t="s">
        <v>12</v>
      </c>
      <c r="K21" s="47">
        <v>36901022</v>
      </c>
      <c r="L21" s="47" t="s">
        <v>16</v>
      </c>
      <c r="M21" s="47">
        <v>4502042551</v>
      </c>
      <c r="N21" s="48">
        <v>3252</v>
      </c>
      <c r="O21" s="57">
        <f t="shared" si="1"/>
        <v>0.59999999999990905</v>
      </c>
      <c r="R21" s="21"/>
      <c r="S21" s="21"/>
      <c r="T21" s="21"/>
    </row>
    <row r="22" spans="1:20" s="50" customFormat="1" hidden="1" x14ac:dyDescent="0.2">
      <c r="A22" s="54">
        <v>21.06</v>
      </c>
      <c r="B22" s="55" t="s">
        <v>122</v>
      </c>
      <c r="C22" s="55" t="s">
        <v>123</v>
      </c>
      <c r="D22" s="56">
        <v>50000</v>
      </c>
      <c r="E22" s="31"/>
      <c r="F22" s="32">
        <f t="shared" si="0"/>
        <v>200000</v>
      </c>
      <c r="G22" s="30"/>
      <c r="H22" s="30" t="s">
        <v>124</v>
      </c>
      <c r="I22" s="49">
        <v>38300191</v>
      </c>
      <c r="J22" s="49" t="s">
        <v>12</v>
      </c>
      <c r="K22" s="49">
        <v>369010241</v>
      </c>
      <c r="L22" s="49" t="s">
        <v>125</v>
      </c>
      <c r="M22" s="55">
        <v>4501903894</v>
      </c>
      <c r="N22" s="56">
        <f>23844.72+25799.2</f>
        <v>49643.92</v>
      </c>
      <c r="O22" s="57">
        <f t="shared" si="1"/>
        <v>356.08000000000175</v>
      </c>
      <c r="R22" s="21"/>
      <c r="S22" s="21"/>
      <c r="T22" s="21"/>
    </row>
    <row r="23" spans="1:20" s="50" customFormat="1" ht="42.75" hidden="1" x14ac:dyDescent="0.2">
      <c r="A23" s="54">
        <v>22.06</v>
      </c>
      <c r="B23" s="55" t="s">
        <v>126</v>
      </c>
      <c r="C23" s="50" t="s">
        <v>127</v>
      </c>
      <c r="D23" s="56">
        <v>31020</v>
      </c>
      <c r="E23" s="31"/>
      <c r="F23" s="32">
        <f>$P$1-E23</f>
        <v>200000</v>
      </c>
      <c r="G23" s="30"/>
      <c r="H23" s="30"/>
      <c r="I23" s="49">
        <v>38300191</v>
      </c>
      <c r="J23" s="49" t="s">
        <v>12</v>
      </c>
      <c r="K23" s="49">
        <v>3690101</v>
      </c>
      <c r="L23" s="49" t="s">
        <v>128</v>
      </c>
      <c r="M23" s="55">
        <v>4502046165</v>
      </c>
      <c r="N23" s="56">
        <v>31020</v>
      </c>
      <c r="O23" s="57">
        <f t="shared" si="1"/>
        <v>0</v>
      </c>
      <c r="R23" s="21"/>
      <c r="S23" s="21"/>
      <c r="T23" s="21"/>
    </row>
    <row r="24" spans="1:20" s="50" customFormat="1" hidden="1" x14ac:dyDescent="0.2">
      <c r="A24" s="54">
        <v>23.06</v>
      </c>
      <c r="B24" s="55" t="s">
        <v>65</v>
      </c>
      <c r="C24" s="58" t="s">
        <v>129</v>
      </c>
      <c r="D24" s="56">
        <v>5262</v>
      </c>
      <c r="E24" s="31"/>
      <c r="F24" s="32">
        <f>$P$1-E24</f>
        <v>200000</v>
      </c>
      <c r="G24" s="30"/>
      <c r="H24" s="30"/>
      <c r="I24" s="49">
        <v>38300191</v>
      </c>
      <c r="J24" s="49" t="s">
        <v>12</v>
      </c>
      <c r="K24" s="49">
        <v>36901027</v>
      </c>
      <c r="L24" s="49" t="s">
        <v>130</v>
      </c>
      <c r="M24" s="55">
        <v>4502046353</v>
      </c>
      <c r="N24" s="56">
        <v>5262</v>
      </c>
      <c r="O24" s="57">
        <f t="shared" si="1"/>
        <v>0</v>
      </c>
      <c r="R24" s="21"/>
      <c r="S24" s="21"/>
      <c r="T24" s="21"/>
    </row>
    <row r="25" spans="1:20" s="46" customFormat="1" ht="43.5" hidden="1" x14ac:dyDescent="0.25">
      <c r="A25" s="51">
        <v>23.06</v>
      </c>
      <c r="B25" s="63" t="s">
        <v>167</v>
      </c>
      <c r="C25" s="50" t="s">
        <v>131</v>
      </c>
      <c r="D25" s="53">
        <f>(45000*3.4)</f>
        <v>153000</v>
      </c>
      <c r="E25" s="31"/>
      <c r="F25" s="32">
        <f>$P$1-E25</f>
        <v>200000</v>
      </c>
      <c r="G25" s="30"/>
      <c r="H25" s="67" t="s">
        <v>132</v>
      </c>
      <c r="I25" s="49">
        <v>38300191</v>
      </c>
      <c r="J25" s="74" t="s">
        <v>12</v>
      </c>
      <c r="K25" s="74">
        <v>36901101</v>
      </c>
      <c r="L25" s="74" t="s">
        <v>133</v>
      </c>
      <c r="M25" s="52">
        <v>4502045903</v>
      </c>
      <c r="N25" s="53">
        <f>45000*3.3</f>
        <v>148500</v>
      </c>
      <c r="O25" s="45">
        <f t="shared" si="1"/>
        <v>4500</v>
      </c>
      <c r="R25" s="21"/>
      <c r="S25" s="21"/>
      <c r="T25" s="21"/>
    </row>
    <row r="26" spans="1:20" s="50" customFormat="1" hidden="1" x14ac:dyDescent="0.2">
      <c r="A26" s="54">
        <v>23.06</v>
      </c>
      <c r="B26" s="55" t="s">
        <v>134</v>
      </c>
      <c r="C26" s="55" t="s">
        <v>135</v>
      </c>
      <c r="D26" s="56">
        <v>5000</v>
      </c>
      <c r="E26" s="31"/>
      <c r="F26" s="32">
        <v>200000</v>
      </c>
      <c r="G26" s="30"/>
      <c r="H26" s="30"/>
      <c r="I26" s="55">
        <v>38300191</v>
      </c>
      <c r="J26" s="55" t="s">
        <v>12</v>
      </c>
      <c r="K26" s="55">
        <v>36901024</v>
      </c>
      <c r="L26" s="55" t="s">
        <v>13</v>
      </c>
      <c r="M26" s="55">
        <v>4502020034</v>
      </c>
      <c r="N26" s="56">
        <v>5000</v>
      </c>
      <c r="O26" s="57">
        <f t="shared" si="1"/>
        <v>0</v>
      </c>
      <c r="R26" s="21"/>
      <c r="S26" s="21"/>
      <c r="T26" s="21"/>
    </row>
    <row r="27" spans="1:20" s="50" customFormat="1" hidden="1" x14ac:dyDescent="0.2">
      <c r="A27" s="54">
        <v>23.06</v>
      </c>
      <c r="B27" s="55"/>
      <c r="C27" s="55" t="s">
        <v>136</v>
      </c>
      <c r="D27" s="56">
        <f>2080*1.17</f>
        <v>2433.6</v>
      </c>
      <c r="E27" s="31"/>
      <c r="F27" s="32">
        <f t="shared" ref="F27:F36" si="2">$P$1-E27</f>
        <v>200000</v>
      </c>
      <c r="G27" s="30"/>
      <c r="H27" s="30"/>
      <c r="I27" s="47">
        <v>38300191</v>
      </c>
      <c r="J27" s="47" t="s">
        <v>12</v>
      </c>
      <c r="K27" s="47">
        <v>3690112</v>
      </c>
      <c r="L27" s="47" t="s">
        <v>23</v>
      </c>
      <c r="M27" s="55">
        <v>4502044331</v>
      </c>
      <c r="N27" s="56">
        <v>2433.6</v>
      </c>
      <c r="O27" s="57">
        <f t="shared" si="1"/>
        <v>0</v>
      </c>
      <c r="R27" s="21"/>
      <c r="S27" s="21"/>
      <c r="T27" s="21"/>
    </row>
    <row r="28" spans="1:20" s="50" customFormat="1" hidden="1" x14ac:dyDescent="0.2">
      <c r="A28" s="54">
        <v>23.06</v>
      </c>
      <c r="B28" s="55" t="s">
        <v>137</v>
      </c>
      <c r="C28" s="55" t="s">
        <v>138</v>
      </c>
      <c r="D28" s="56">
        <f>1260*1.17</f>
        <v>1474.1999999999998</v>
      </c>
      <c r="E28" s="43"/>
      <c r="F28" s="44">
        <f t="shared" si="2"/>
        <v>200000</v>
      </c>
      <c r="G28" s="23"/>
      <c r="H28" s="23"/>
      <c r="I28" s="47">
        <v>38300191</v>
      </c>
      <c r="J28" s="47" t="s">
        <v>12</v>
      </c>
      <c r="K28" s="47">
        <v>36901022</v>
      </c>
      <c r="L28" s="47" t="s">
        <v>16</v>
      </c>
      <c r="M28" s="47">
        <v>4502046536</v>
      </c>
      <c r="N28" s="48">
        <v>1474</v>
      </c>
      <c r="O28" s="57">
        <f t="shared" si="1"/>
        <v>0.1999999999998181</v>
      </c>
      <c r="R28" s="21"/>
      <c r="S28" s="21"/>
      <c r="T28" s="21"/>
    </row>
    <row r="29" spans="1:20" s="50" customFormat="1" hidden="1" x14ac:dyDescent="0.2">
      <c r="A29" s="54">
        <v>27.06</v>
      </c>
      <c r="B29" s="55" t="s">
        <v>139</v>
      </c>
      <c r="C29" s="55" t="s">
        <v>140</v>
      </c>
      <c r="D29" s="56">
        <v>5850</v>
      </c>
      <c r="E29" s="31"/>
      <c r="F29" s="32">
        <f t="shared" si="2"/>
        <v>200000</v>
      </c>
      <c r="G29" s="30"/>
      <c r="H29" s="30"/>
      <c r="I29" s="55">
        <v>38300191</v>
      </c>
      <c r="J29" s="55" t="s">
        <v>12</v>
      </c>
      <c r="K29" s="55">
        <v>36901024</v>
      </c>
      <c r="L29" s="55" t="s">
        <v>13</v>
      </c>
      <c r="M29" s="55">
        <v>4501841515</v>
      </c>
      <c r="N29" s="56">
        <v>5850</v>
      </c>
      <c r="O29" s="57">
        <f t="shared" si="1"/>
        <v>0</v>
      </c>
      <c r="R29" s="21"/>
      <c r="S29" s="21"/>
      <c r="T29" s="21"/>
    </row>
    <row r="30" spans="1:20" s="50" customFormat="1" hidden="1" x14ac:dyDescent="0.2">
      <c r="A30" s="54">
        <v>27.06</v>
      </c>
      <c r="B30" s="55" t="s">
        <v>141</v>
      </c>
      <c r="C30" s="55" t="s">
        <v>142</v>
      </c>
      <c r="D30" s="56">
        <v>114.66</v>
      </c>
      <c r="E30" s="31"/>
      <c r="F30" s="32">
        <f t="shared" si="2"/>
        <v>200000</v>
      </c>
      <c r="G30" s="30"/>
      <c r="H30" s="30"/>
      <c r="I30" s="55">
        <v>38300191</v>
      </c>
      <c r="J30" s="55" t="s">
        <v>12</v>
      </c>
      <c r="K30" s="55">
        <v>36901024</v>
      </c>
      <c r="L30" s="55" t="s">
        <v>13</v>
      </c>
      <c r="M30" s="55">
        <v>4502046525</v>
      </c>
      <c r="N30" s="56">
        <v>114.66</v>
      </c>
      <c r="O30" s="57">
        <f t="shared" si="1"/>
        <v>0</v>
      </c>
      <c r="R30" s="21"/>
      <c r="S30" s="21"/>
      <c r="T30" s="21"/>
    </row>
    <row r="31" spans="1:20" s="50" customFormat="1" hidden="1" x14ac:dyDescent="0.2">
      <c r="A31" s="54">
        <v>28.06</v>
      </c>
      <c r="B31" s="55" t="s">
        <v>64</v>
      </c>
      <c r="C31" s="55" t="s">
        <v>143</v>
      </c>
      <c r="D31" s="56">
        <v>5850</v>
      </c>
      <c r="E31" s="31"/>
      <c r="F31" s="32">
        <f t="shared" si="2"/>
        <v>200000</v>
      </c>
      <c r="G31" s="30"/>
      <c r="H31" s="30"/>
      <c r="I31" s="55">
        <v>38300191</v>
      </c>
      <c r="J31" s="55" t="s">
        <v>12</v>
      </c>
      <c r="K31" s="55">
        <v>36901024</v>
      </c>
      <c r="L31" s="55" t="s">
        <v>13</v>
      </c>
      <c r="M31" s="55">
        <v>4502027137</v>
      </c>
      <c r="N31" s="56">
        <v>5850</v>
      </c>
      <c r="O31" s="57">
        <f t="shared" si="1"/>
        <v>0</v>
      </c>
      <c r="R31" s="21"/>
      <c r="S31" s="21"/>
      <c r="T31" s="21"/>
    </row>
    <row r="32" spans="1:20" s="50" customFormat="1" hidden="1" x14ac:dyDescent="0.2">
      <c r="A32" s="54">
        <v>28.06</v>
      </c>
      <c r="B32" s="55" t="s">
        <v>144</v>
      </c>
      <c r="C32" s="55" t="s">
        <v>145</v>
      </c>
      <c r="D32" s="56">
        <f>(107554.2+203940.48+136800)*1.17</f>
        <v>524504.77559999994</v>
      </c>
      <c r="E32" s="31"/>
      <c r="F32" s="32">
        <f t="shared" si="2"/>
        <v>200000</v>
      </c>
      <c r="G32" s="30"/>
      <c r="H32" s="30"/>
      <c r="I32" s="49">
        <v>38300191</v>
      </c>
      <c r="J32" s="49" t="s">
        <v>12</v>
      </c>
      <c r="K32" s="49">
        <v>36901023</v>
      </c>
      <c r="L32" s="49" t="s">
        <v>39</v>
      </c>
      <c r="M32" s="55">
        <v>4501765964</v>
      </c>
      <c r="N32" s="56">
        <f>[1]!Table1[[#This Row],[סכום מבוקש בש"ח כולל מעמ!!]]</f>
        <v>44845.554000000004</v>
      </c>
      <c r="O32" s="57">
        <f t="shared" si="1"/>
        <v>479659.22159999993</v>
      </c>
      <c r="R32" s="21"/>
      <c r="S32" s="21"/>
      <c r="T32" s="21"/>
    </row>
    <row r="33" spans="1:20" s="50" customFormat="1" hidden="1" x14ac:dyDescent="0.2">
      <c r="A33" s="54">
        <v>28.06</v>
      </c>
      <c r="B33" s="55" t="s">
        <v>146</v>
      </c>
      <c r="C33" s="55" t="s">
        <v>147</v>
      </c>
      <c r="D33" s="56">
        <v>858</v>
      </c>
      <c r="E33" s="31"/>
      <c r="F33" s="32">
        <f t="shared" si="2"/>
        <v>200000</v>
      </c>
      <c r="G33" s="30"/>
      <c r="H33" s="30"/>
      <c r="I33" s="47">
        <v>38300191</v>
      </c>
      <c r="J33" s="47" t="s">
        <v>12</v>
      </c>
      <c r="K33" s="47">
        <v>36901022</v>
      </c>
      <c r="L33" s="47" t="s">
        <v>16</v>
      </c>
      <c r="M33" s="55">
        <v>4502047031</v>
      </c>
      <c r="N33" s="56">
        <v>858</v>
      </c>
      <c r="O33" s="57">
        <f t="shared" si="1"/>
        <v>0</v>
      </c>
      <c r="R33" s="21"/>
      <c r="S33" s="21"/>
      <c r="T33" s="21"/>
    </row>
    <row r="34" spans="1:20" s="50" customFormat="1" hidden="1" x14ac:dyDescent="0.2">
      <c r="A34" s="54">
        <v>29.06</v>
      </c>
      <c r="B34" s="55" t="s">
        <v>148</v>
      </c>
      <c r="C34" s="55" t="s">
        <v>149</v>
      </c>
      <c r="D34" s="56">
        <f>(16000*12)*1.17</f>
        <v>224640</v>
      </c>
      <c r="E34" s="31"/>
      <c r="F34" s="32">
        <f t="shared" si="2"/>
        <v>200000</v>
      </c>
      <c r="G34" s="30"/>
      <c r="H34" s="30" t="s">
        <v>110</v>
      </c>
      <c r="I34" s="47">
        <v>38300191</v>
      </c>
      <c r="J34" s="47" t="s">
        <v>12</v>
      </c>
      <c r="K34" s="47">
        <v>3690112</v>
      </c>
      <c r="L34" s="47" t="s">
        <v>23</v>
      </c>
      <c r="M34" s="55">
        <v>4502046182</v>
      </c>
      <c r="N34" s="56">
        <v>224640</v>
      </c>
      <c r="O34" s="57">
        <f t="shared" si="1"/>
        <v>0</v>
      </c>
      <c r="R34" s="21"/>
      <c r="S34" s="21"/>
      <c r="T34" s="21"/>
    </row>
    <row r="35" spans="1:20" s="50" customFormat="1" hidden="1" x14ac:dyDescent="0.2">
      <c r="A35" s="54">
        <v>30.06</v>
      </c>
      <c r="B35" s="55" t="s">
        <v>150</v>
      </c>
      <c r="C35" s="55" t="s">
        <v>151</v>
      </c>
      <c r="D35" s="56">
        <v>42000</v>
      </c>
      <c r="E35" s="31"/>
      <c r="F35" s="32">
        <f t="shared" si="2"/>
        <v>200000</v>
      </c>
      <c r="G35" s="30"/>
      <c r="H35" s="30"/>
      <c r="I35" s="47">
        <v>38300191</v>
      </c>
      <c r="J35" s="47" t="s">
        <v>12</v>
      </c>
      <c r="K35" s="47">
        <v>36901022</v>
      </c>
      <c r="L35" s="47" t="s">
        <v>16</v>
      </c>
      <c r="M35" s="55">
        <v>4502048495</v>
      </c>
      <c r="N35" s="56">
        <v>42000</v>
      </c>
      <c r="O35" s="72">
        <f>[1]!Table1[[#This Row],[סכום התקשרות מצטבר מול הספק (אם רלוונטי)]]-[1]!Table1[[#This Row],[שווי שורה/ הגדלה ]]</f>
        <v>0</v>
      </c>
      <c r="R35" s="21"/>
      <c r="S35" s="21"/>
      <c r="T35" s="21"/>
    </row>
    <row r="36" spans="1:20" s="50" customFormat="1" ht="28.5" hidden="1" x14ac:dyDescent="0.2">
      <c r="A36" s="54">
        <v>30.06</v>
      </c>
      <c r="B36" s="55" t="s">
        <v>152</v>
      </c>
      <c r="C36" s="55" t="s">
        <v>153</v>
      </c>
      <c r="D36" s="56">
        <v>2732</v>
      </c>
      <c r="E36" s="31"/>
      <c r="F36" s="32">
        <f t="shared" si="2"/>
        <v>200000</v>
      </c>
      <c r="G36" s="30"/>
      <c r="H36" s="30"/>
      <c r="I36" s="47">
        <v>38300191</v>
      </c>
      <c r="J36" s="47" t="s">
        <v>12</v>
      </c>
      <c r="K36" s="47">
        <v>36901022</v>
      </c>
      <c r="L36" s="47" t="s">
        <v>16</v>
      </c>
      <c r="M36" s="55">
        <v>4502047909</v>
      </c>
      <c r="N36" s="56">
        <v>2732</v>
      </c>
      <c r="O36" s="72">
        <f>[1]!Table1[[#This Row],[סכום התקשרות מצטבר מול הספק (אם רלוונטי)]]-[1]!Table1[[#This Row],[שווי שורה/ הגדלה ]]</f>
        <v>0</v>
      </c>
      <c r="R36" s="21"/>
      <c r="S36" s="21"/>
      <c r="T36" s="21"/>
    </row>
    <row r="37" spans="1:20" x14ac:dyDescent="0.2">
      <c r="A37" s="59"/>
      <c r="B37" s="30"/>
      <c r="C37" s="30"/>
      <c r="D37" s="31"/>
      <c r="E37" s="31"/>
      <c r="F37" s="32"/>
      <c r="G37" s="30"/>
      <c r="H37" s="30"/>
      <c r="I37" s="61"/>
      <c r="J37" s="61"/>
      <c r="K37" s="61"/>
      <c r="L37" s="61"/>
      <c r="M37" s="30"/>
      <c r="N37" s="31">
        <f>SUBTOTAL(109,Table1[שווי שורה/ הגדלה ])</f>
        <v>5265</v>
      </c>
      <c r="O37" s="62"/>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8"/>
  <sheetViews>
    <sheetView rightToLeft="1" zoomScale="90" zoomScaleNormal="90" workbookViewId="0">
      <pane ySplit="1" topLeftCell="A2" activePane="bottomLeft" state="frozen"/>
      <selection pane="bottomLeft" activeCell="A7" sqref="A7"/>
    </sheetView>
  </sheetViews>
  <sheetFormatPr defaultRowHeight="14.25" x14ac:dyDescent="0.2"/>
  <cols>
    <col min="2" max="2" width="12.125" customWidth="1"/>
    <col min="3" max="3" width="47.75" customWidth="1"/>
    <col min="4" max="4" width="14.875" style="22" customWidth="1"/>
    <col min="5" max="5" width="14.125" customWidth="1"/>
    <col min="6" max="6" width="14.75" style="22" bestFit="1" customWidth="1"/>
    <col min="7" max="7" width="15.875" style="22" customWidth="1"/>
    <col min="8" max="8" width="15.875" customWidth="1"/>
    <col min="9" max="9" width="12.375" bestFit="1" customWidth="1"/>
    <col min="10" max="10" width="14.125" bestFit="1" customWidth="1"/>
  </cols>
  <sheetData>
    <row r="1" spans="1:10" s="13" customFormat="1" ht="28.5" x14ac:dyDescent="0.2">
      <c r="A1" s="13" t="s">
        <v>17</v>
      </c>
      <c r="B1" s="13" t="s">
        <v>18</v>
      </c>
      <c r="C1" s="13" t="s">
        <v>19</v>
      </c>
      <c r="D1" s="24" t="s">
        <v>20</v>
      </c>
      <c r="E1" s="13" t="s">
        <v>21</v>
      </c>
      <c r="F1" s="24" t="s">
        <v>22</v>
      </c>
      <c r="G1" s="24" t="s">
        <v>24</v>
      </c>
      <c r="H1" s="13" t="s">
        <v>28</v>
      </c>
      <c r="I1" s="13" t="s">
        <v>29</v>
      </c>
      <c r="J1" s="13" t="s">
        <v>30</v>
      </c>
    </row>
    <row r="2" spans="1:10" ht="57" x14ac:dyDescent="0.2">
      <c r="A2">
        <v>34637</v>
      </c>
      <c r="B2" t="s">
        <v>26</v>
      </c>
      <c r="C2" s="21" t="s">
        <v>31</v>
      </c>
      <c r="D2" s="22">
        <v>5800000</v>
      </c>
      <c r="E2" t="s">
        <v>14</v>
      </c>
      <c r="F2" s="22">
        <v>5800000</v>
      </c>
      <c r="G2" s="22">
        <f>[4]!טבלה3[[#This Row],[סכום מבוקש]]-[4]!טבלה3[[#This Row],[סכום מאושר]]</f>
        <v>0</v>
      </c>
      <c r="H2" s="22"/>
      <c r="I2" s="22"/>
      <c r="J2" s="22">
        <f>[4]!טבלה3[[#This Row],[סכום מאושר]]-[4]!טבלה3[[#This Row],[ניצול מתוך הפנייה ]]</f>
        <v>5800000</v>
      </c>
    </row>
    <row r="3" spans="1:10" ht="28.5" x14ac:dyDescent="0.2">
      <c r="A3">
        <v>34657</v>
      </c>
      <c r="B3" t="s">
        <v>27</v>
      </c>
      <c r="C3" s="21" t="s">
        <v>32</v>
      </c>
      <c r="D3" s="22">
        <v>7500000</v>
      </c>
      <c r="E3" t="s">
        <v>14</v>
      </c>
      <c r="F3" s="22">
        <v>7500000</v>
      </c>
      <c r="G3" s="22">
        <f>[4]!טבלה3[[#This Row],[סכום מבוקש]]-[4]!טבלה3[[#This Row],[סכום מאושר]]</f>
        <v>0</v>
      </c>
      <c r="H3" s="22"/>
      <c r="I3" s="22">
        <f>'[2]2021'!$N$45</f>
        <v>2949415.3800000004</v>
      </c>
      <c r="J3" s="22">
        <f>[4]!טבלה3[[#This Row],[סכום מאושר]]-[4]!טבלה3[[#This Row],[ניצול מתוך הפנייה ]]</f>
        <v>4550584.6199999992</v>
      </c>
    </row>
    <row r="4" spans="1:10" x14ac:dyDescent="0.2">
      <c r="A4">
        <v>34803</v>
      </c>
      <c r="B4" t="s">
        <v>33</v>
      </c>
      <c r="C4" t="s">
        <v>34</v>
      </c>
      <c r="D4" s="22">
        <v>27500000</v>
      </c>
      <c r="E4" t="s">
        <v>14</v>
      </c>
      <c r="F4" s="22">
        <v>27500000</v>
      </c>
      <c r="G4" s="22">
        <f>[4]!טבלה3[[#This Row],[סכום מבוקש]]-[4]!טבלה3[[#This Row],[סכום מאושר]]</f>
        <v>0</v>
      </c>
      <c r="H4" s="22"/>
      <c r="I4" s="22">
        <f>'[3]חישובי יתרה'!$D$21</f>
        <v>5630872.7412999999</v>
      </c>
      <c r="J4" s="22">
        <f>[4]!טבלה3[[#This Row],[סכום מאושר]]-[4]!טבלה3[[#This Row],[ניצול מתוך הפנייה ]]</f>
        <v>21869127.258699998</v>
      </c>
    </row>
    <row r="5" spans="1:10" ht="42.75" x14ac:dyDescent="0.2">
      <c r="A5">
        <v>34894</v>
      </c>
      <c r="B5" t="s">
        <v>35</v>
      </c>
      <c r="C5" s="21" t="s">
        <v>36</v>
      </c>
      <c r="D5" s="22">
        <v>175500</v>
      </c>
      <c r="E5" t="s">
        <v>37</v>
      </c>
      <c r="G5" s="22">
        <f>[4]!טבלה3[[#This Row],[סכום מבוקש]]-[4]!טבלה3[[#This Row],[סכום מאושר]]</f>
        <v>175500</v>
      </c>
      <c r="H5" s="25" t="s">
        <v>38</v>
      </c>
      <c r="I5" s="22"/>
      <c r="J5" s="22">
        <f>[4]!טבלה3[[#This Row],[סכום מאושר]]-[4]!טבלה3[[#This Row],[ניצול מתוך הפנייה ]]</f>
        <v>0</v>
      </c>
    </row>
    <row r="6" spans="1:10" ht="85.5" x14ac:dyDescent="0.2">
      <c r="A6">
        <v>35092</v>
      </c>
      <c r="B6" t="s">
        <v>40</v>
      </c>
      <c r="C6" s="21" t="s">
        <v>41</v>
      </c>
      <c r="D6" s="22">
        <v>527700000</v>
      </c>
      <c r="E6" t="s">
        <v>14</v>
      </c>
      <c r="F6" s="22">
        <f>טבלה3[[#This Row],[סכום מבוקש]]</f>
        <v>527700000</v>
      </c>
      <c r="G6" s="22">
        <f>[4]!טבלה3[[#This Row],[סכום מבוקש]]-[4]!טבלה3[[#This Row],[סכום מאושר]]</f>
        <v>0</v>
      </c>
      <c r="H6" s="21" t="s">
        <v>42</v>
      </c>
      <c r="I6" s="22"/>
      <c r="J6" s="22">
        <f>[4]!טבלה3[[#This Row],[סכום מאושר]]-[4]!טבלה3[[#This Row],[ניצול מתוך הפנייה ]]</f>
        <v>527700000</v>
      </c>
    </row>
    <row r="7" spans="1:10" ht="28.5" x14ac:dyDescent="0.2">
      <c r="A7">
        <v>35254</v>
      </c>
      <c r="B7" t="s">
        <v>43</v>
      </c>
      <c r="C7" s="28" t="s">
        <v>44</v>
      </c>
      <c r="D7" s="22">
        <v>415584</v>
      </c>
      <c r="E7" t="s">
        <v>14</v>
      </c>
      <c r="F7" s="22">
        <f>טבלה3[[#This Row],[סכום מבוקש]]</f>
        <v>415584</v>
      </c>
      <c r="G7" s="22">
        <f>[4]!טבלה3[[#This Row],[סכום מבוקש]]-[4]!טבלה3[[#This Row],[סכום מאושר]]</f>
        <v>0</v>
      </c>
      <c r="H7" s="29" t="s">
        <v>45</v>
      </c>
      <c r="I7" s="22"/>
      <c r="J7" s="22">
        <f>[4]!טבלה3[[#This Row],[סכום מאושר]]-[4]!טבלה3[[#This Row],[ניצול מתוך הפנייה ]]</f>
        <v>415584</v>
      </c>
    </row>
    <row r="8" spans="1:10" ht="85.5" x14ac:dyDescent="0.2">
      <c r="A8">
        <v>35320</v>
      </c>
      <c r="B8" t="s">
        <v>46</v>
      </c>
      <c r="C8" s="28" t="s">
        <v>47</v>
      </c>
      <c r="D8" s="22">
        <v>150000</v>
      </c>
      <c r="E8" t="s">
        <v>14</v>
      </c>
      <c r="F8" s="22">
        <f>טבלה3[[#This Row],[סכום מבוקש]]</f>
        <v>150000</v>
      </c>
      <c r="G8" s="22">
        <f>[4]!טבלה3[[#This Row],[סכום מבוקש]]-[4]!טבלה3[[#This Row],[סכום מאושר]]</f>
        <v>0</v>
      </c>
      <c r="H8" s="22"/>
      <c r="I8" s="22"/>
      <c r="J8" s="22">
        <f>[4]!טבלה3[[#This Row],[סכום מאושר]]-[4]!טבלה3[[#This Row],[ניצול מתוך הפנייה ]]</f>
        <v>150000</v>
      </c>
    </row>
    <row r="9" spans="1:10" ht="28.5" x14ac:dyDescent="0.2">
      <c r="A9">
        <v>35363</v>
      </c>
      <c r="B9" t="s">
        <v>48</v>
      </c>
      <c r="C9" s="21" t="s">
        <v>49</v>
      </c>
      <c r="D9" s="22">
        <v>234000</v>
      </c>
      <c r="E9" t="s">
        <v>14</v>
      </c>
      <c r="F9" s="22">
        <f>טבלה3[[#This Row],[סכום מבוקש]]</f>
        <v>234000</v>
      </c>
      <c r="H9" s="22"/>
      <c r="I9" s="22"/>
      <c r="J9" s="22">
        <f>[4]!טבלה3[[#This Row],[סכום מאושר]]-[4]!טבלה3[[#This Row],[ניצול מתוך הפנייה ]]</f>
        <v>234000</v>
      </c>
    </row>
    <row r="10" spans="1:10" x14ac:dyDescent="0.2">
      <c r="A10">
        <v>36094</v>
      </c>
      <c r="B10" t="s">
        <v>69</v>
      </c>
      <c r="C10" t="s">
        <v>154</v>
      </c>
      <c r="D10" s="22">
        <v>877500</v>
      </c>
      <c r="E10" t="s">
        <v>14</v>
      </c>
      <c r="F10" s="22">
        <v>877500</v>
      </c>
      <c r="H10" s="22"/>
      <c r="I10" s="22"/>
      <c r="J10" s="22">
        <f>[4]!טבלה3[[#This Row],[סכום מאושר]]-[4]!טבלה3[[#This Row],[ניצול מתוך הפנייה ]]</f>
        <v>877500</v>
      </c>
    </row>
    <row r="11" spans="1:10" x14ac:dyDescent="0.2">
      <c r="G11" s="22">
        <f>[4]!טבלה3[[#This Row],[סכום מבוקש]]-[4]!טבלה3[[#This Row],[סכום מאושר]]</f>
        <v>2515500</v>
      </c>
      <c r="H11" s="22"/>
      <c r="I11" s="22"/>
      <c r="J11" s="22">
        <f>[4]!טבלה3[[#This Row],[סכום מאושר]]-[4]!טבלה3[[#This Row],[ניצול מתוך הפנייה ]]</f>
        <v>0</v>
      </c>
    </row>
    <row r="12" spans="1:10" x14ac:dyDescent="0.2">
      <c r="H12" s="22"/>
      <c r="I12" s="22"/>
      <c r="J12" s="22"/>
    </row>
    <row r="13" spans="1:10" x14ac:dyDescent="0.2">
      <c r="H13" s="22"/>
      <c r="I13" s="22"/>
      <c r="J13" s="22"/>
    </row>
    <row r="14" spans="1:10" x14ac:dyDescent="0.2">
      <c r="H14" s="22"/>
      <c r="I14" s="22"/>
      <c r="J14" s="22"/>
    </row>
    <row r="15" spans="1:10" x14ac:dyDescent="0.2">
      <c r="H15" s="22"/>
      <c r="I15" s="22"/>
      <c r="J15" s="22"/>
    </row>
    <row r="16" spans="1:10" x14ac:dyDescent="0.2">
      <c r="H16" s="22"/>
      <c r="I16" s="22"/>
      <c r="J16" s="22"/>
    </row>
    <row r="17" spans="8:10" x14ac:dyDescent="0.2">
      <c r="H17" s="22"/>
      <c r="I17" s="22"/>
      <c r="J17" s="22"/>
    </row>
    <row r="18" spans="8:10" x14ac:dyDescent="0.2">
      <c r="H18" s="22"/>
      <c r="I18" s="22"/>
      <c r="J18" s="22"/>
    </row>
    <row r="19" spans="8:10" x14ac:dyDescent="0.2">
      <c r="H19" s="22"/>
      <c r="I19" s="22"/>
      <c r="J19" s="22"/>
    </row>
    <row r="20" spans="8:10" x14ac:dyDescent="0.2">
      <c r="H20" s="22"/>
      <c r="I20" s="22"/>
      <c r="J20" s="22"/>
    </row>
    <row r="21" spans="8:10" x14ac:dyDescent="0.2">
      <c r="H21" s="22"/>
      <c r="I21" s="22"/>
      <c r="J21" s="22"/>
    </row>
    <row r="22" spans="8:10" x14ac:dyDescent="0.2">
      <c r="H22" s="22"/>
      <c r="I22" s="22"/>
      <c r="J22" s="22"/>
    </row>
    <row r="23" spans="8:10" x14ac:dyDescent="0.2">
      <c r="H23" s="22"/>
      <c r="I23" s="22"/>
      <c r="J23" s="22"/>
    </row>
    <row r="24" spans="8:10" x14ac:dyDescent="0.2">
      <c r="H24" s="22"/>
      <c r="I24" s="22"/>
      <c r="J24" s="22"/>
    </row>
    <row r="25" spans="8:10" x14ac:dyDescent="0.2">
      <c r="H25" s="22"/>
      <c r="I25" s="22"/>
      <c r="J25" s="22"/>
    </row>
    <row r="26" spans="8:10" x14ac:dyDescent="0.2">
      <c r="H26" s="22"/>
      <c r="I26" s="22"/>
      <c r="J26" s="22"/>
    </row>
    <row r="27" spans="8:10" x14ac:dyDescent="0.2">
      <c r="H27" s="22"/>
      <c r="I27" s="22"/>
      <c r="J27" s="22"/>
    </row>
    <row r="28" spans="8:10" x14ac:dyDescent="0.2">
      <c r="H28" s="22"/>
      <c r="I28" s="22"/>
      <c r="J28" s="22"/>
    </row>
    <row r="29" spans="8:10" x14ac:dyDescent="0.2">
      <c r="H29" s="22"/>
      <c r="I29" s="22"/>
      <c r="J29" s="22"/>
    </row>
    <row r="30" spans="8:10" x14ac:dyDescent="0.2">
      <c r="H30" s="22"/>
      <c r="I30" s="22"/>
      <c r="J30" s="22"/>
    </row>
    <row r="31" spans="8:10" x14ac:dyDescent="0.2">
      <c r="H31" s="22"/>
      <c r="I31" s="22"/>
      <c r="J31" s="22"/>
    </row>
    <row r="32" spans="8:10" x14ac:dyDescent="0.2">
      <c r="H32" s="22"/>
      <c r="I32" s="22"/>
      <c r="J32" s="22"/>
    </row>
    <row r="33" spans="8:10" x14ac:dyDescent="0.2">
      <c r="H33" s="22"/>
      <c r="I33" s="22"/>
      <c r="J33" s="22"/>
    </row>
    <row r="34" spans="8:10" x14ac:dyDescent="0.2">
      <c r="H34" s="22"/>
      <c r="I34" s="22"/>
      <c r="J34" s="22"/>
    </row>
    <row r="35" spans="8:10" x14ac:dyDescent="0.2">
      <c r="H35" s="22"/>
      <c r="I35" s="22"/>
      <c r="J35" s="22"/>
    </row>
    <row r="36" spans="8:10" x14ac:dyDescent="0.2">
      <c r="H36" s="22"/>
      <c r="I36" s="22"/>
      <c r="J36" s="22"/>
    </row>
    <row r="37" spans="8:10" x14ac:dyDescent="0.2">
      <c r="H37" s="22"/>
      <c r="I37" s="22"/>
      <c r="J37" s="22"/>
    </row>
    <row r="38" spans="8:10" x14ac:dyDescent="0.2">
      <c r="H38" s="22"/>
      <c r="I38" s="22"/>
      <c r="J38" s="22"/>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0F39-F11F-4573-89A5-4F772D4FB876}">
  <dimension ref="A1:F23"/>
  <sheetViews>
    <sheetView rightToLeft="1" tabSelected="1" workbookViewId="0">
      <pane xSplit="4" ySplit="7" topLeftCell="E12" activePane="bottomRight" state="frozen"/>
      <selection pane="topRight" activeCell="E1" sqref="E1"/>
      <selection pane="bottomLeft" activeCell="A8" sqref="A8"/>
      <selection pane="bottomRight" activeCell="C21" sqref="C21"/>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155</v>
      </c>
      <c r="F2"/>
    </row>
    <row r="3" spans="1:6" s="3" customFormat="1" ht="15.75" x14ac:dyDescent="0.25">
      <c r="C3" s="20"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156</v>
      </c>
      <c r="D6" s="11"/>
      <c r="F6"/>
    </row>
    <row r="7" spans="1:6" ht="28.5" x14ac:dyDescent="0.2">
      <c r="A7" s="12" t="s">
        <v>2</v>
      </c>
      <c r="B7" s="12" t="s">
        <v>3</v>
      </c>
      <c r="C7" s="12" t="s">
        <v>4</v>
      </c>
      <c r="D7" s="13" t="s">
        <v>5</v>
      </c>
    </row>
    <row r="8" spans="1:6" s="17" customFormat="1" ht="15" x14ac:dyDescent="0.25">
      <c r="A8" s="14">
        <v>1</v>
      </c>
      <c r="B8" s="15"/>
      <c r="C8" s="15" t="s">
        <v>171</v>
      </c>
      <c r="D8" s="27">
        <v>4233.5</v>
      </c>
    </row>
    <row r="9" spans="1:6" s="17" customFormat="1" ht="15" x14ac:dyDescent="0.25">
      <c r="A9" s="14">
        <v>2</v>
      </c>
      <c r="B9" s="15"/>
      <c r="C9" s="15" t="s">
        <v>172</v>
      </c>
      <c r="D9" s="27">
        <v>5262</v>
      </c>
    </row>
    <row r="10" spans="1:6" s="17" customFormat="1" ht="15" x14ac:dyDescent="0.25">
      <c r="A10" s="14">
        <v>3</v>
      </c>
      <c r="B10" s="15"/>
      <c r="C10" s="15" t="s">
        <v>170</v>
      </c>
      <c r="D10" s="27">
        <v>5265</v>
      </c>
    </row>
    <row r="11" spans="1:6" s="17" customFormat="1" ht="15" x14ac:dyDescent="0.25">
      <c r="A11" s="14">
        <v>4</v>
      </c>
      <c r="B11" s="15"/>
      <c r="C11" s="15" t="s">
        <v>161</v>
      </c>
      <c r="D11" s="27">
        <v>7449.32</v>
      </c>
    </row>
    <row r="12" spans="1:6" s="17" customFormat="1" ht="15" x14ac:dyDescent="0.25">
      <c r="A12" s="14">
        <v>5</v>
      </c>
      <c r="B12" s="15"/>
      <c r="C12" s="19" t="s">
        <v>160</v>
      </c>
      <c r="D12" s="27">
        <v>10240</v>
      </c>
    </row>
    <row r="13" spans="1:6" s="17" customFormat="1" ht="15" x14ac:dyDescent="0.25">
      <c r="A13" s="14">
        <v>6</v>
      </c>
      <c r="B13" s="15"/>
      <c r="C13" s="15" t="s">
        <v>164</v>
      </c>
      <c r="D13" s="27">
        <v>32301</v>
      </c>
    </row>
    <row r="14" spans="1:6" s="17" customFormat="1" ht="15" x14ac:dyDescent="0.25">
      <c r="A14" s="14">
        <v>7</v>
      </c>
      <c r="B14" s="15"/>
      <c r="C14" s="15" t="s">
        <v>162</v>
      </c>
      <c r="D14" s="27">
        <v>42000</v>
      </c>
    </row>
    <row r="15" spans="1:6" s="17" customFormat="1" ht="30" x14ac:dyDescent="0.25">
      <c r="A15" s="14">
        <v>8</v>
      </c>
      <c r="B15" s="15"/>
      <c r="C15" s="15" t="s">
        <v>169</v>
      </c>
      <c r="D15" s="27">
        <v>45182</v>
      </c>
    </row>
    <row r="16" spans="1:6" ht="15" x14ac:dyDescent="0.25">
      <c r="A16" s="14">
        <v>9</v>
      </c>
      <c r="B16" s="26"/>
      <c r="C16" s="26" t="s">
        <v>157</v>
      </c>
      <c r="D16" s="27">
        <f>31020+18252</f>
        <v>49272</v>
      </c>
    </row>
    <row r="17" spans="1:4" ht="30" x14ac:dyDescent="0.25">
      <c r="A17" s="14">
        <v>10</v>
      </c>
      <c r="B17" s="15"/>
      <c r="C17" s="15" t="s">
        <v>168</v>
      </c>
      <c r="D17" s="27">
        <v>49643.92</v>
      </c>
    </row>
    <row r="18" spans="1:4" s="17" customFormat="1" ht="30" x14ac:dyDescent="0.25">
      <c r="A18" s="14">
        <v>11</v>
      </c>
      <c r="B18" s="15"/>
      <c r="C18" s="15" t="s">
        <v>166</v>
      </c>
      <c r="D18" s="27">
        <v>50000</v>
      </c>
    </row>
    <row r="19" spans="1:4" s="17" customFormat="1" ht="15" x14ac:dyDescent="0.25">
      <c r="A19" s="14">
        <v>12</v>
      </c>
      <c r="B19" s="26"/>
      <c r="C19" s="26" t="s">
        <v>158</v>
      </c>
      <c r="D19" s="27">
        <v>59603.6</v>
      </c>
    </row>
    <row r="20" spans="1:4" s="17" customFormat="1" ht="15" x14ac:dyDescent="0.25">
      <c r="A20" s="14">
        <v>13</v>
      </c>
      <c r="B20" s="15"/>
      <c r="C20" s="15" t="s">
        <v>165</v>
      </c>
      <c r="D20" s="27">
        <v>148500</v>
      </c>
    </row>
    <row r="21" spans="1:4" s="17" customFormat="1" ht="30" x14ac:dyDescent="0.25">
      <c r="A21" s="14">
        <v>14</v>
      </c>
      <c r="B21" s="26"/>
      <c r="C21" s="26" t="s">
        <v>159</v>
      </c>
      <c r="D21" s="27">
        <v>224640</v>
      </c>
    </row>
    <row r="22" spans="1:4" s="17" customFormat="1" ht="15" x14ac:dyDescent="0.25">
      <c r="A22" s="14">
        <v>15</v>
      </c>
      <c r="B22" s="26"/>
      <c r="C22" s="26" t="s">
        <v>163</v>
      </c>
      <c r="D22" s="27">
        <f>(107554.2+203940.48+136800)*1.17</f>
        <v>524504.77559999994</v>
      </c>
    </row>
    <row r="23" spans="1:4" ht="15" x14ac:dyDescent="0.25">
      <c r="A23" s="73"/>
      <c r="B23" s="26"/>
      <c r="C23" s="26"/>
      <c r="D23" s="75">
        <f>SUBTOTAL(109,Table133232323524242[סכום ההתקשרות (סכום ההתקשרות ולא סכום המזומן)])</f>
        <v>1258097.1155999999</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מאי</vt:lpstr>
      <vt:lpstr>דוח החרגות</vt:lpstr>
      <vt:lpstr>דוח פניות לאוצר 2021</vt:lpstr>
      <vt:lpstr>יוני</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2021-07-18T05:15:08Z</dcterms:modified>
  <cp:category/>
</cp:coreProperties>
</file>