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C:\Users\shira.v\Documents\תקציב\חריגות משרדיות\2021\"/>
    </mc:Choice>
  </mc:AlternateContent>
  <xr:revisionPtr revIDLastSave="0" documentId="13_ncr:1_{D2BE1B6B-EB7A-4F58-AD30-54DE85B002B8}" xr6:coauthVersionLast="47" xr6:coauthVersionMax="47" xr10:uidLastSave="{00000000-0000-0000-0000-000000000000}"/>
  <bookViews>
    <workbookView xWindow="-120" yWindow="-120" windowWidth="29040" windowHeight="15840" firstSheet="3" activeTab="3" xr2:uid="{00000000-000D-0000-FFFF-FFFF00000000}"/>
  </bookViews>
  <sheets>
    <sheet name="יוני" sheetId="32" state="hidden" r:id="rId1"/>
    <sheet name="דוח החרגות" sheetId="28" state="hidden" r:id="rId2"/>
    <sheet name="דוח פניות לאוצר 2021" sheetId="24" state="hidden" r:id="rId3"/>
    <sheet name="יולי" sheetId="33" r:id="rId4"/>
  </sheets>
  <externalReferences>
    <externalReference r:id="rId5"/>
    <externalReference r:id="rId6"/>
    <externalReference r:id="rId7"/>
    <externalReference r:id="rId8"/>
  </externalReferences>
  <definedNames>
    <definedName name="נספח_ב" localSheetId="3">יולי!#REF!</definedName>
    <definedName name="נספח_ב" localSheetId="0">יוני!#REF!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33" l="1"/>
  <c r="D18" i="33"/>
  <c r="N29" i="28"/>
  <c r="D8" i="28"/>
  <c r="N11" i="28"/>
  <c r="J2" i="24"/>
  <c r="J3" i="24"/>
  <c r="J4" i="24"/>
  <c r="J5" i="24"/>
  <c r="J6" i="24"/>
  <c r="J7" i="24"/>
  <c r="J8" i="24"/>
  <c r="J9" i="24"/>
  <c r="J10" i="24"/>
  <c r="J11" i="24"/>
  <c r="O28" i="28"/>
  <c r="F28" i="28"/>
  <c r="D28" i="28"/>
  <c r="O27" i="28"/>
  <c r="F27" i="28"/>
  <c r="O26" i="28"/>
  <c r="F26" i="28"/>
  <c r="D26" i="28"/>
  <c r="O25" i="28"/>
  <c r="F25" i="28"/>
  <c r="O24" i="28"/>
  <c r="F24" i="28"/>
  <c r="O23" i="28"/>
  <c r="F23" i="28"/>
  <c r="D23" i="28"/>
  <c r="O22" i="28"/>
  <c r="F22" i="28"/>
  <c r="O21" i="28"/>
  <c r="F21" i="28"/>
  <c r="F20" i="28"/>
  <c r="D20" i="28"/>
  <c r="O20" i="28" s="1"/>
  <c r="O19" i="28"/>
  <c r="F19" i="28"/>
  <c r="O18" i="28"/>
  <c r="N18" i="28"/>
  <c r="F18" i="28"/>
  <c r="D18" i="28"/>
  <c r="O17" i="28"/>
  <c r="F17" i="28"/>
  <c r="D17" i="28"/>
  <c r="O16" i="28"/>
  <c r="F16" i="28"/>
  <c r="O15" i="28"/>
  <c r="F15" i="28"/>
  <c r="O14" i="28"/>
  <c r="F14" i="28"/>
  <c r="D14" i="28"/>
  <c r="O13" i="28"/>
  <c r="F13" i="28"/>
  <c r="O12" i="28"/>
  <c r="F12" i="28"/>
  <c r="D12" i="28"/>
  <c r="O11" i="28"/>
  <c r="F11" i="28"/>
  <c r="F10" i="28"/>
  <c r="D10" i="28"/>
  <c r="O10" i="28" s="1"/>
  <c r="O9" i="28"/>
  <c r="F9" i="28"/>
  <c r="F8" i="28"/>
  <c r="O7" i="28"/>
  <c r="F7" i="28"/>
  <c r="F6" i="28"/>
  <c r="D6" i="28"/>
  <c r="O6" i="28" s="1"/>
  <c r="N5" i="28"/>
  <c r="F5" i="28"/>
  <c r="D5" i="28"/>
  <c r="O5" i="28" s="1"/>
  <c r="O4" i="28"/>
  <c r="F4" i="28"/>
  <c r="O3" i="28"/>
  <c r="F3" i="28"/>
  <c r="D3" i="28"/>
  <c r="F2" i="28"/>
  <c r="D2" i="28"/>
  <c r="O2" i="28" s="1"/>
  <c r="D20" i="33"/>
  <c r="D23" i="32"/>
  <c r="D22" i="32"/>
  <c r="D16" i="32" l="1"/>
  <c r="G2" i="24"/>
  <c r="G3" i="24"/>
  <c r="G4" i="24"/>
  <c r="G5" i="24"/>
  <c r="G6" i="24"/>
  <c r="G7" i="24"/>
  <c r="G8" i="24"/>
  <c r="F9" i="24" l="1"/>
  <c r="F8" i="24"/>
  <c r="F7" i="24"/>
  <c r="F6" i="24"/>
  <c r="I4" i="24"/>
  <c r="I3" i="24"/>
</calcChain>
</file>

<file path=xl/sharedStrings.xml><?xml version="1.0" encoding="utf-8"?>
<sst xmlns="http://schemas.openxmlformats.org/spreadsheetml/2006/main" count="222" uniqueCount="165">
  <si>
    <t>הרשות הלאומית לחדשנות טכנולוגית</t>
  </si>
  <si>
    <t>פורמט לדיווח על החלטות בעניין הוצאות המשרד</t>
  </si>
  <si>
    <t>מס</t>
  </si>
  <si>
    <t>ספק</t>
  </si>
  <si>
    <t>נושא ההתקשרות</t>
  </si>
  <si>
    <r>
      <t>סכום ההתקשרות (</t>
    </r>
    <r>
      <rPr>
        <sz val="8"/>
        <color theme="1"/>
        <rFont val="Arial"/>
        <family val="2"/>
        <charset val="177"/>
        <scheme val="minor"/>
      </rPr>
      <t>סכום ההתקשרות ולא סכום המזומן</t>
    </r>
    <r>
      <rPr>
        <sz val="11"/>
        <color theme="1"/>
        <rFont val="Arial"/>
        <family val="2"/>
        <charset val="177"/>
        <scheme val="minor"/>
      </rPr>
      <t>)</t>
    </r>
  </si>
  <si>
    <t xml:space="preserve">שם הספק </t>
  </si>
  <si>
    <t>סכום מבוקש בש"ח כולל מעמ!!</t>
  </si>
  <si>
    <t>תקנה/ פריט התחייבות</t>
  </si>
  <si>
    <t>שם תקנה</t>
  </si>
  <si>
    <t>מרכז קרנות</t>
  </si>
  <si>
    <t>שם מרכז קרנות</t>
  </si>
  <si>
    <t>תפעול</t>
  </si>
  <si>
    <t>משרדיות</t>
  </si>
  <si>
    <t>אושר</t>
  </si>
  <si>
    <t xml:space="preserve">מחשוב </t>
  </si>
  <si>
    <t>משאבי אנוש</t>
  </si>
  <si>
    <t>מספר</t>
  </si>
  <si>
    <t>תאריך פנייה</t>
  </si>
  <si>
    <t>נושא</t>
  </si>
  <si>
    <t>סכום מבוקש</t>
  </si>
  <si>
    <t>סטטוס</t>
  </si>
  <si>
    <t>סכום מאושר</t>
  </si>
  <si>
    <t>שיווק</t>
  </si>
  <si>
    <t>הפרש</t>
  </si>
  <si>
    <t>נספח ב להודעת הנחיות לביצוע התקציב בשנת 2021</t>
  </si>
  <si>
    <t>24.01.2021</t>
  </si>
  <si>
    <t>25.01.2021</t>
  </si>
  <si>
    <t>הערות</t>
  </si>
  <si>
    <t xml:space="preserve">ניצול מתוך הפנייה </t>
  </si>
  <si>
    <t xml:space="preserve">יתרה לניצול </t>
  </si>
  <si>
    <t>בקשה למתן מענקים מכוח החוק לעידוד מחקר, פיתוח וחדשנות טכנולוגית בתעשייה, תשמ"ד-1094 (תקציב הרשאה) והתקשרויות נלוות, עבור קול קורא לניסוי והדגמת טכנולוגיות רחפנים במרחב אווירי מנוהל-  הרשות הלאומית לחדשנות</t>
  </si>
  <si>
    <t>בקשה להתקשרות עם משרדי רואי חשבון + מעריכי שווי קניין רוחני – הרשות הלאומית לחדשנות טכנולוגית</t>
  </si>
  <si>
    <t>07.02.2021</t>
  </si>
  <si>
    <t xml:space="preserve">בקשה להתקשרות עם בודקים מקצועיים  </t>
  </si>
  <si>
    <t>14.02.2021</t>
  </si>
  <si>
    <t xml:space="preserve">בקשה לאישור התקשרות עם בי ויי הפקות והשקעות בע"מ להפקת כנס השקה לתכנית הורייזון אירופה (Horizon Europe) </t>
  </si>
  <si>
    <t>הוגש</t>
  </si>
  <si>
    <t>יאושר על ידי החשב- יצאה הוראת תכם מעודכנת בנושא</t>
  </si>
  <si>
    <t>02.03.2021</t>
  </si>
  <si>
    <t xml:space="preserve">בקשה ל: מתן מענקים מכוח החוק לעידוד מחקר, פיתוח וחדשנות טכנולוגית בתעשייה, תשמ"ד-1094 (תקציב הרשאה) והתקשרויות נלוות – הרשות הלאומית לחדשנות טכנולוגית- </t>
  </si>
  <si>
    <t>תקציב הרשאה הגדלה ל 526.2 משל"ח + לפמ 1.5 מלשח. הסכום המבוקש מתייחס לתקציב מזומן בלבד</t>
  </si>
  <si>
    <t>14.03.2021</t>
  </si>
  <si>
    <t>בקשה להתקשרות עם ספקים המעניקים שירותי יחסי ציבור בארץ ובחו"ל – רשות החדשנות</t>
  </si>
  <si>
    <t>דבי משה והמקומיוניקיישנס</t>
  </si>
  <si>
    <t>16.03.2021</t>
  </si>
  <si>
    <t xml:space="preserve">בקשה לאישור פרסומה של פנייה פרטנית מכוח מכרז מסגרת מס' 11/2018 של הרשות, לקבלת שירותי מידענות ומחקר שוק, ולהתקשרות עם ספק המסגרת הזוכה בפנייה הפרטנית, לצורך ניהול, ריכוז וניתוח הממצאים של פנייה לציבור לקבלת מידע בנוגע לרגולציה וחסמים רגולטוריים ביחס לתחום הבינה המלאכותית, לשם קידום פעילות זו בישראל </t>
  </si>
  <si>
    <t>18.03.2021</t>
  </si>
  <si>
    <t>בקשה למימוש אופציה להתקשרות עם ארנסט יאנג (ישראל) בע"מ – רשות החדשנות</t>
  </si>
  <si>
    <t xml:space="preserve">מטרת ההתקשרות </t>
  </si>
  <si>
    <r>
      <t>סכום התקשרות מצטבר מול הספק (</t>
    </r>
    <r>
      <rPr>
        <b/>
        <sz val="8"/>
        <color theme="1"/>
        <rFont val="Arial"/>
        <family val="2"/>
        <scheme val="minor"/>
      </rPr>
      <t>אם רלוונטי</t>
    </r>
    <r>
      <rPr>
        <b/>
        <sz val="11"/>
        <color theme="1"/>
        <rFont val="Arial"/>
        <family val="2"/>
        <scheme val="minor"/>
      </rPr>
      <t>)</t>
    </r>
  </si>
  <si>
    <t>יתרה מתקרת ההתקשרות</t>
  </si>
  <si>
    <r>
      <t>אושר בוועדת חריגים (</t>
    </r>
    <r>
      <rPr>
        <b/>
        <sz val="8"/>
        <color theme="1"/>
        <rFont val="Arial"/>
        <family val="2"/>
        <scheme val="minor"/>
      </rPr>
      <t>אם כן, לציין מס פנייה ותאריך אישור</t>
    </r>
    <r>
      <rPr>
        <b/>
        <sz val="11"/>
        <color theme="1"/>
        <rFont val="Arial"/>
        <family val="2"/>
        <scheme val="minor"/>
      </rPr>
      <t>)</t>
    </r>
  </si>
  <si>
    <r>
      <t>אושר בוועדת מכרזים (</t>
    </r>
    <r>
      <rPr>
        <b/>
        <sz val="8"/>
        <color theme="1"/>
        <rFont val="Arial"/>
        <family val="2"/>
        <scheme val="minor"/>
      </rPr>
      <t>אם כן, לציין תאריך דיון</t>
    </r>
    <r>
      <rPr>
        <b/>
        <sz val="11"/>
        <color theme="1"/>
        <rFont val="Arial"/>
        <family val="2"/>
        <scheme val="minor"/>
      </rPr>
      <t>)</t>
    </r>
  </si>
  <si>
    <t>נוצרה/ הוגדלה התחייבות מספר</t>
  </si>
  <si>
    <t xml:space="preserve">שווי שורה/ הגדלה </t>
  </si>
  <si>
    <t>הפרש יתרה שלא נוצלה מהחרגה</t>
  </si>
  <si>
    <t>החרגה קיימת/קודמת</t>
  </si>
  <si>
    <t>סכום להחרגה</t>
  </si>
  <si>
    <t>הוחרג בפועל</t>
  </si>
  <si>
    <t>23.00</t>
  </si>
  <si>
    <t>טיקל סנטר</t>
  </si>
  <si>
    <t>בינת סמך</t>
  </si>
  <si>
    <t>01.06.2021</t>
  </si>
  <si>
    <t>שירות לקוחות</t>
  </si>
  <si>
    <t>יועצים ומחקר</t>
  </si>
  <si>
    <t xml:space="preserve">בקשה להרחבת התקשרות עם חברת ספארק ביונד בע"מ </t>
  </si>
  <si>
    <t>דוח החרגות לחודש: יוני 2021</t>
  </si>
  <si>
    <t>פרסומי חודש 06/2021 בהתאם להוראות סעיף 49(ב) לחוק יסודות התקציב, תשמ"ה-1985</t>
  </si>
  <si>
    <t>שירותי דיוור</t>
  </si>
  <si>
    <t>הפקת כנסים ואירועי שיווק</t>
  </si>
  <si>
    <t>שירותי יח"צ בינ"ל- פנייה 35254 אושרה בוועדת חריגים של האוצר</t>
  </si>
  <si>
    <t xml:space="preserve">שירותי מחשוב- רשיונות שימוש, חומרה ותוכנה </t>
  </si>
  <si>
    <t>פעולות רווחה</t>
  </si>
  <si>
    <t xml:space="preserve">מתנות לעובדים לראש השנה </t>
  </si>
  <si>
    <t>שכירות ג.ט.י- רבעון שלישי 2021</t>
  </si>
  <si>
    <t>הוצאות משרדיות</t>
  </si>
  <si>
    <t>התקשרות משלימה לפרויקט בניין הידע</t>
  </si>
  <si>
    <t>יעוץ משפטי, הרחבת התקשרות.  פנייה 32238 אושרה בוועדת החריגים של האוצר</t>
  </si>
  <si>
    <t>הרחבת התקשרות, ביצוע אדריכלות במתחם קלאוזנר. פנייה 32180 אושרה בוועדת החריגים של האוצר</t>
  </si>
  <si>
    <t xml:space="preserve">ביצוע ביקורת כספים בחשבות, הארכת התקשרות- פנייה 31201  אושרה בוועדת החריגים של האוצר </t>
  </si>
  <si>
    <t xml:space="preserve">אירוע פרידה </t>
  </si>
  <si>
    <t xml:space="preserve">ימי עיון </t>
  </si>
  <si>
    <t xml:space="preserve">שיפורי מרכזייה </t>
  </si>
  <si>
    <t>חיון טכנולוגיות</t>
  </si>
  <si>
    <t>הזמנת 14 מסכים</t>
  </si>
  <si>
    <t>IVC</t>
  </si>
  <si>
    <t xml:space="preserve">מפתח API, מינוי שנתי לארגון ושעות מפתח </t>
  </si>
  <si>
    <t>28.06.2021</t>
  </si>
  <si>
    <t>העיקר הבריאות</t>
  </si>
  <si>
    <t>מכשירי דפברילטור</t>
  </si>
  <si>
    <t>גרפיטי</t>
  </si>
  <si>
    <t>הגדלת התקשרות  ושינוי ההזמנה להזמנת מסגרת 2021</t>
  </si>
  <si>
    <t>פליאקוב דיגיטל</t>
  </si>
  <si>
    <t>קידום אתרים בגוגל</t>
  </si>
  <si>
    <t xml:space="preserve">פרומרקטינג וויזרד בע"מ </t>
  </si>
  <si>
    <t>פלטפורמה לאירוע מעסיקים</t>
  </si>
  <si>
    <t>במייל 05.07.2021</t>
  </si>
  <si>
    <t>שאטרסטוק</t>
  </si>
  <si>
    <t>זכויות יוצרים לשימוש בתמונות</t>
  </si>
  <si>
    <t>גרפוס</t>
  </si>
  <si>
    <t>כרטיסי ביקור- 10 סוגים</t>
  </si>
  <si>
    <t>חים קבלו</t>
  </si>
  <si>
    <t>הארכת דלפק בלשכת המנכל</t>
  </si>
  <si>
    <t>WEF</t>
  </si>
  <si>
    <t>מופ בינלאומי</t>
  </si>
  <si>
    <t>צמיחה</t>
  </si>
  <si>
    <t xml:space="preserve">זכריה לוי </t>
  </si>
  <si>
    <t>הוספת רכיב נוסף</t>
  </si>
  <si>
    <t>14.07.2021</t>
  </si>
  <si>
    <t>מעבר לירושלים</t>
  </si>
  <si>
    <t>מלמ שכר</t>
  </si>
  <si>
    <t xml:space="preserve">הארכת התקשרות לשנה נוספת </t>
  </si>
  <si>
    <t xml:space="preserve">הרחבת התקשרות עבור שימוש ברכיב אחסון </t>
  </si>
  <si>
    <t>אקווריום</t>
  </si>
  <si>
    <t xml:space="preserve">יום לילדי העובדים העולים לכיתה א </t>
  </si>
  <si>
    <t>גרבלר ענבר</t>
  </si>
  <si>
    <t>ליווי רשימת כנס דוח החדשנות</t>
  </si>
  <si>
    <t>אפקון</t>
  </si>
  <si>
    <t xml:space="preserve">לרכישה של 4 כבלים להטענה מהירה בעמדות הטענה </t>
  </si>
  <si>
    <t>שכר</t>
  </si>
  <si>
    <t>משאבים</t>
  </si>
  <si>
    <t>ליאקום</t>
  </si>
  <si>
    <t>הארכה והגדלת התקשרות דני בן שלום</t>
  </si>
  <si>
    <t>בלינק צ'ארצ'ינג</t>
  </si>
  <si>
    <t xml:space="preserve"> עמדות הטענה לרכבים חשמליים</t>
  </si>
  <si>
    <t>ספארק ביונד</t>
  </si>
  <si>
    <t>הגדלת התקשרות- שינוי תכולת עבודה</t>
  </si>
  <si>
    <t>פנייה 36094 מיום 09.06.2021</t>
  </si>
  <si>
    <t>06.05.2021</t>
  </si>
  <si>
    <t>ביקורת פרויקטים</t>
  </si>
  <si>
    <t>תפעול מערך טכנולוגי</t>
  </si>
  <si>
    <t>הרחבת התקשרות לשנת 2021- המשך משורה 73</t>
  </si>
  <si>
    <t>01.12.2020</t>
  </si>
  <si>
    <t xml:space="preserve">חכמים בלילה </t>
  </si>
  <si>
    <t>הפקת 10 אירועים - חדשנות על הבר</t>
  </si>
  <si>
    <t>20.07.2021</t>
  </si>
  <si>
    <t>א.מ.ן שירותי מחשוב</t>
  </si>
  <si>
    <t>הארכת התקשרות עבור איתן רוטשטיין</t>
  </si>
  <si>
    <t>אי די איי</t>
  </si>
  <si>
    <t>ל 20000 אלף מעטפות (10000 מכל סוג )</t>
  </si>
  <si>
    <t>ג'וב מאסטר</t>
  </si>
  <si>
    <t>פרסום מודעת דרושים</t>
  </si>
  <si>
    <t>איילה הלוי</t>
  </si>
  <si>
    <t xml:space="preserve">בנק עיצובים גרפים (6 עיצובים ) </t>
  </si>
  <si>
    <t>תים נטקום</t>
  </si>
  <si>
    <t>שירותי הגנות סייבר על האתר השיווקי- התקשרות ל 36 חודשים</t>
  </si>
  <si>
    <t>במייל 27.07.2021</t>
  </si>
  <si>
    <t>ביגה</t>
  </si>
  <si>
    <t>הגדלת התקשרות ל 2021- כיבוד</t>
  </si>
  <si>
    <t>קיום כנס רשות החדשנות</t>
  </si>
  <si>
    <t>דוח החרגות לחודש: יולי 2021</t>
  </si>
  <si>
    <t>פרסומי חודש 07/2021 בהתאם להוראות סעיף 49(ב) לחוק יסודות התקציב, תשמ"ה-1985</t>
  </si>
  <si>
    <t>פנייה 36094 לוועדת החריגים של האוצר: הרחבת התקשרות - בניין הידע</t>
  </si>
  <si>
    <t>דמי חבר לשנת 2021</t>
  </si>
  <si>
    <r>
      <t xml:space="preserve">דמי חבר של ישראל על השתתפות ברשת </t>
    </r>
    <r>
      <rPr>
        <sz val="11"/>
        <color rgb="FFFF0000"/>
        <rFont val="Calibri"/>
        <family val="2"/>
      </rPr>
      <t>C4IR</t>
    </r>
    <r>
      <rPr>
        <sz val="11"/>
        <color rgb="FFFF0000"/>
        <rFont val="Arial"/>
        <family val="2"/>
        <scheme val="minor"/>
      </rPr>
      <t xml:space="preserve"> </t>
    </r>
  </si>
  <si>
    <t xml:space="preserve">הארכת התקשרות- מיקור חוץ נותני שירות מחשוב </t>
  </si>
  <si>
    <t xml:space="preserve">הוצאות שיווק </t>
  </si>
  <si>
    <t xml:space="preserve">הוצאות ציוד מחשוב </t>
  </si>
  <si>
    <t>שירותי מחשוב</t>
  </si>
  <si>
    <t>משרדיות כללי</t>
  </si>
  <si>
    <t>הרחבת התקשרות- קבלן שיפוצים</t>
  </si>
  <si>
    <t>הרחבת התקשרות- מרכזייה שירות לקוחות</t>
  </si>
  <si>
    <t>מינוי שנתי למאגר שירותי מידע- בניין הידע</t>
  </si>
  <si>
    <t>רכישת כבלי הטענה חשמליים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</si>
</sst>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409]#,##0.00"/>
  </numFmts>
  <fonts count="28" x14ac:knownFonts="1">
    <font>
      <sz val="11"/>
      <color theme="1"/>
      <name val="Arial"/>
      <family val="2"/>
      <charset val="177"/>
      <scheme val="minor"/>
    </font>
    <font>
      <sz val="11"/>
      <color theme="1"/>
      <name val="Arial"/>
      <family val="2"/>
      <scheme val="minor"/>
    </font>
    <font>
      <sz val="10"/>
      <name val="Arial"/>
      <family val="2"/>
    </font>
    <font>
      <sz val="11"/>
      <color rgb="FFFF0000"/>
      <name val="Arial"/>
      <family val="2"/>
      <charset val="177"/>
      <scheme val="minor"/>
    </font>
    <font>
      <sz val="10"/>
      <color theme="1"/>
      <name val="Times New Roman"/>
      <family val="1"/>
    </font>
    <font>
      <b/>
      <sz val="11"/>
      <color rgb="FFFFFFFF"/>
      <name val="Arial"/>
      <family val="2"/>
      <scheme val="minor"/>
    </font>
    <font>
      <sz val="11"/>
      <color theme="1"/>
      <name val="David"/>
      <family val="2"/>
      <charset val="177"/>
    </font>
    <font>
      <b/>
      <sz val="12"/>
      <color rgb="FF000000"/>
      <name val="David"/>
      <family val="2"/>
      <charset val="177"/>
    </font>
    <font>
      <sz val="12"/>
      <color rgb="FF5A5A5A"/>
      <name val="David"/>
      <family val="2"/>
      <charset val="177"/>
    </font>
    <font>
      <sz val="12"/>
      <color theme="1"/>
      <name val="David"/>
      <family val="2"/>
      <charset val="177"/>
    </font>
    <font>
      <sz val="10"/>
      <color theme="1"/>
      <name val="David"/>
      <family val="2"/>
      <charset val="177"/>
    </font>
    <font>
      <sz val="8"/>
      <color theme="1"/>
      <name val="Arial"/>
      <family val="2"/>
      <charset val="177"/>
      <scheme val="minor"/>
    </font>
    <font>
      <sz val="11"/>
      <name val="David"/>
      <family val="2"/>
      <charset val="177"/>
    </font>
    <font>
      <sz val="11"/>
      <color theme="1"/>
      <name val="Arial"/>
      <family val="2"/>
      <charset val="177"/>
      <scheme val="minor"/>
    </font>
    <font>
      <sz val="10"/>
      <name val="Arial"/>
      <family val="2"/>
    </font>
    <font>
      <sz val="10"/>
      <name val="Arial"/>
      <family val="2"/>
    </font>
    <font>
      <sz val="12"/>
      <name val="David"/>
      <family val="2"/>
      <charset val="177"/>
    </font>
    <font>
      <sz val="10"/>
      <name val="Arial"/>
      <family val="2"/>
    </font>
    <font>
      <sz val="10"/>
      <name val="Arial"/>
      <family val="2"/>
    </font>
    <font>
      <sz val="10"/>
      <name val="Arial"/>
      <family val="2"/>
    </font>
    <font>
      <sz val="11"/>
      <color theme="1"/>
      <name val="David"/>
      <family val="2"/>
    </font>
    <font>
      <b/>
      <sz val="11"/>
      <color theme="1"/>
      <name val="Arial"/>
      <family val="2"/>
      <scheme val="minor"/>
    </font>
    <font>
      <b/>
      <sz val="8"/>
      <color theme="1"/>
      <name val="Arial"/>
      <family val="2"/>
      <scheme val="minor"/>
    </font>
    <font>
      <sz val="11"/>
      <color rgb="FFFF0000"/>
      <name val="Arial"/>
      <family val="2"/>
      <scheme val="minor"/>
    </font>
    <font>
      <sz val="10"/>
      <name val="Arial"/>
      <family val="2"/>
    </font>
    <font>
      <sz val="11"/>
      <color rgb="FFFF0000"/>
      <name val="David"/>
      <family val="2"/>
    </font>
    <font>
      <sz val="11"/>
      <color rgb="FFFF0000"/>
      <name val="Calibri"/>
      <family val="2"/>
    </font>
    <font>
      <sz val="11"/>
      <color rgb="FFFF0000"/>
      <name val="Arial"/>
      <family val="2"/>
    </font>
  </fonts>
  <fills count="3">
    <fill>
      <patternFill patternType="none"/>
    </fill>
    <fill>
      <patternFill patternType="gray125"/>
    </fill>
    <fill>
      <patternFill patternType="solid">
        <fgColor rgb="FF00CC99"/>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2">
    <xf numFmtId="0" fontId="0" fillId="0" borderId="0"/>
    <xf numFmtId="43" fontId="13" fillId="0" borderId="0" applyFont="0" applyFill="0" applyBorder="0" applyAlignment="0" applyProtection="0"/>
    <xf numFmtId="0" fontId="2" fillId="0" borderId="0"/>
    <xf numFmtId="44" fontId="13" fillId="0" borderId="0" applyFont="0" applyFill="0" applyBorder="0" applyAlignment="0" applyProtection="0"/>
    <xf numFmtId="0" fontId="14" fillId="0" borderId="0"/>
    <xf numFmtId="0" fontId="15" fillId="0" borderId="0"/>
    <xf numFmtId="43" fontId="13" fillId="0" borderId="0" applyFont="0" applyFill="0" applyBorder="0" applyAlignment="0" applyProtection="0"/>
    <xf numFmtId="0" fontId="2" fillId="0" borderId="0"/>
    <xf numFmtId="0" fontId="17" fillId="0" borderId="0"/>
    <xf numFmtId="0" fontId="18" fillId="0" borderId="0"/>
    <xf numFmtId="0" fontId="19" fillId="0" borderId="0"/>
    <xf numFmtId="0" fontId="24" fillId="0" borderId="0"/>
  </cellStyleXfs>
  <cellXfs count="66">
    <xf numFmtId="0" fontId="0" fillId="0" borderId="0" xfId="0"/>
    <xf numFmtId="0" fontId="4" fillId="0" borderId="0" xfId="0" applyFont="1"/>
    <xf numFmtId="0" fontId="5" fillId="0" borderId="0" xfId="0" applyFont="1" applyAlignment="1">
      <alignment vertical="center" readingOrder="2"/>
    </xf>
    <xf numFmtId="0" fontId="6" fillId="0" borderId="0" xfId="0" applyFont="1"/>
    <xf numFmtId="0" fontId="7" fillId="0" borderId="2" xfId="0" applyFont="1" applyBorder="1" applyAlignment="1">
      <alignment horizontal="right" vertical="center" readingOrder="2"/>
    </xf>
    <xf numFmtId="0" fontId="8" fillId="0" borderId="5" xfId="0" applyFont="1" applyBorder="1" applyAlignment="1">
      <alignment vertical="center" readingOrder="2"/>
    </xf>
    <xf numFmtId="0" fontId="9" fillId="0" borderId="4" xfId="0" applyFont="1" applyBorder="1" applyAlignment="1">
      <alignment vertical="center" readingOrder="2"/>
    </xf>
    <xf numFmtId="0" fontId="9" fillId="0" borderId="5" xfId="0" applyFont="1" applyBorder="1" applyAlignment="1">
      <alignment vertical="center" readingOrder="2"/>
    </xf>
    <xf numFmtId="0" fontId="10" fillId="0" borderId="4" xfId="0" applyFont="1" applyBorder="1"/>
    <xf numFmtId="0" fontId="10" fillId="0" borderId="5" xfId="0" applyFont="1" applyBorder="1"/>
    <xf numFmtId="0" fontId="6" fillId="0" borderId="6" xfId="0" applyFont="1" applyBorder="1"/>
    <xf numFmtId="0" fontId="6" fillId="0" borderId="7" xfId="0" applyFont="1" applyBorder="1"/>
    <xf numFmtId="0" fontId="0" fillId="0" borderId="0" xfId="0" applyAlignment="1">
      <alignment horizontal="center" vertical="center"/>
    </xf>
    <xf numFmtId="0" fontId="0" fillId="0" borderId="0" xfId="0" applyAlignment="1">
      <alignment horizontal="center" vertical="center" wrapText="1"/>
    </xf>
    <xf numFmtId="0" fontId="12" fillId="0" borderId="0" xfId="0" applyFont="1"/>
    <xf numFmtId="0" fontId="6" fillId="0" borderId="0" xfId="0" applyFont="1" applyAlignment="1">
      <alignment wrapText="1"/>
    </xf>
    <xf numFmtId="0" fontId="3" fillId="0" borderId="0" xfId="0" applyFont="1"/>
    <xf numFmtId="0" fontId="7" fillId="0" borderId="3" xfId="0" applyFont="1" applyBorder="1" applyAlignment="1">
      <alignment horizontal="center" vertical="center" wrapText="1" readingOrder="2"/>
    </xf>
    <xf numFmtId="0" fontId="6" fillId="0" borderId="0" xfId="0" applyFont="1" applyAlignment="1">
      <alignment horizontal="right" wrapText="1" readingOrder="2"/>
    </xf>
    <xf numFmtId="0" fontId="16" fillId="0" borderId="4" xfId="0" applyFont="1" applyBorder="1" applyAlignment="1">
      <alignment vertical="center" readingOrder="2"/>
    </xf>
    <xf numFmtId="0" fontId="0" fillId="0" borderId="0" xfId="0" applyAlignment="1">
      <alignment wrapText="1"/>
    </xf>
    <xf numFmtId="43" fontId="0" fillId="0" borderId="0" xfId="1" applyFont="1"/>
    <xf numFmtId="0" fontId="0" fillId="0" borderId="1" xfId="0" applyBorder="1" applyAlignment="1">
      <alignment wrapText="1"/>
    </xf>
    <xf numFmtId="43" fontId="0" fillId="0" borderId="0" xfId="1" applyFont="1" applyAlignment="1">
      <alignment horizontal="center" vertical="center" wrapText="1"/>
    </xf>
    <xf numFmtId="43" fontId="0" fillId="0" borderId="0" xfId="1" applyFont="1" applyAlignment="1">
      <alignment wrapText="1"/>
    </xf>
    <xf numFmtId="0" fontId="20" fillId="0" borderId="0" xfId="0" applyFont="1" applyAlignment="1">
      <alignment wrapText="1"/>
    </xf>
    <xf numFmtId="43" fontId="20" fillId="0" borderId="0" xfId="1" applyFont="1"/>
    <xf numFmtId="0" fontId="0" fillId="0" borderId="0" xfId="0" applyAlignment="1">
      <alignment horizontal="right" wrapText="1"/>
    </xf>
    <xf numFmtId="43" fontId="0" fillId="0" borderId="0" xfId="1" applyFont="1" applyAlignment="1">
      <alignment horizontal="right" wrapText="1"/>
    </xf>
    <xf numFmtId="0" fontId="0" fillId="0" borderId="8" xfId="0" applyBorder="1" applyAlignment="1">
      <alignment wrapText="1"/>
    </xf>
    <xf numFmtId="43" fontId="0" fillId="0" borderId="8" xfId="1" applyFont="1" applyBorder="1" applyAlignment="1">
      <alignment wrapText="1"/>
    </xf>
    <xf numFmtId="43" fontId="0" fillId="0" borderId="8" xfId="0" applyNumberFormat="1" applyBorder="1" applyAlignment="1">
      <alignment wrapText="1"/>
    </xf>
    <xf numFmtId="2" fontId="21" fillId="2" borderId="8" xfId="0" applyNumberFormat="1"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43" fontId="21" fillId="2" borderId="10" xfId="1" applyFont="1" applyFill="1" applyBorder="1" applyAlignment="1">
      <alignment horizontal="center" vertical="center" wrapText="1"/>
    </xf>
    <xf numFmtId="4" fontId="21" fillId="2" borderId="11" xfId="1" applyNumberFormat="1" applyFont="1" applyFill="1" applyBorder="1" applyAlignment="1">
      <alignment horizontal="center" vertical="center" wrapText="1"/>
    </xf>
    <xf numFmtId="0" fontId="21" fillId="0" borderId="0" xfId="0" applyFont="1" applyAlignment="1">
      <alignment horizontal="center" vertical="center" wrapText="1"/>
    </xf>
    <xf numFmtId="4" fontId="0" fillId="0" borderId="0" xfId="0" applyNumberFormat="1" applyAlignment="1">
      <alignment wrapText="1"/>
    </xf>
    <xf numFmtId="2" fontId="0" fillId="0" borderId="0" xfId="0" applyNumberFormat="1" applyAlignment="1">
      <alignment wrapText="1"/>
    </xf>
    <xf numFmtId="0" fontId="3" fillId="0" borderId="0" xfId="0" applyFont="1" applyAlignment="1">
      <alignment wrapText="1"/>
    </xf>
    <xf numFmtId="0" fontId="23" fillId="0" borderId="1" xfId="0" applyFont="1" applyBorder="1"/>
    <xf numFmtId="2" fontId="3" fillId="0" borderId="8" xfId="0" applyNumberFormat="1" applyFont="1" applyBorder="1" applyAlignment="1">
      <alignment wrapText="1"/>
    </xf>
    <xf numFmtId="0" fontId="3" fillId="0" borderId="8" xfId="0" applyFont="1" applyBorder="1" applyAlignment="1">
      <alignment wrapText="1"/>
    </xf>
    <xf numFmtId="43" fontId="3" fillId="0" borderId="8" xfId="1" applyFont="1" applyBorder="1" applyAlignment="1">
      <alignment wrapText="1"/>
    </xf>
    <xf numFmtId="2" fontId="0" fillId="0" borderId="8" xfId="0" applyNumberFormat="1" applyBorder="1" applyAlignment="1">
      <alignment wrapText="1"/>
    </xf>
    <xf numFmtId="4" fontId="0" fillId="0" borderId="1" xfId="1" applyNumberFormat="1" applyFont="1" applyBorder="1" applyAlignment="1">
      <alignment wrapText="1"/>
    </xf>
    <xf numFmtId="0" fontId="1" fillId="0" borderId="0" xfId="0" applyFont="1"/>
    <xf numFmtId="0" fontId="25" fillId="0" borderId="0" xfId="0" applyFont="1"/>
    <xf numFmtId="0" fontId="3" fillId="0" borderId="1" xfId="0" applyFont="1" applyBorder="1"/>
    <xf numFmtId="43" fontId="20" fillId="0" borderId="0" xfId="0" applyNumberFormat="1" applyFont="1"/>
    <xf numFmtId="43" fontId="3" fillId="0" borderId="8" xfId="0" applyNumberFormat="1" applyFont="1" applyBorder="1" applyAlignment="1">
      <alignment wrapText="1"/>
    </xf>
    <xf numFmtId="2" fontId="23" fillId="0" borderId="8" xfId="0" applyNumberFormat="1" applyFont="1" applyBorder="1" applyAlignment="1">
      <alignment wrapText="1"/>
    </xf>
    <xf numFmtId="0" fontId="23" fillId="0" borderId="8" xfId="0" applyFont="1" applyBorder="1" applyAlignment="1">
      <alignment wrapText="1"/>
    </xf>
    <xf numFmtId="0" fontId="23" fillId="0" borderId="0" xfId="0" applyFont="1"/>
    <xf numFmtId="43" fontId="23" fillId="0" borderId="8" xfId="1" applyFont="1" applyBorder="1" applyAlignment="1">
      <alignment wrapText="1"/>
    </xf>
    <xf numFmtId="4" fontId="23" fillId="0" borderId="1" xfId="1" applyNumberFormat="1" applyFont="1" applyBorder="1" applyAlignment="1">
      <alignment wrapText="1"/>
    </xf>
    <xf numFmtId="0" fontId="23" fillId="0" borderId="0" xfId="0" applyFont="1" applyAlignment="1">
      <alignment wrapText="1"/>
    </xf>
    <xf numFmtId="4" fontId="3" fillId="0" borderId="1" xfId="1" applyNumberFormat="1" applyFont="1" applyBorder="1" applyAlignment="1">
      <alignment wrapText="1"/>
    </xf>
    <xf numFmtId="164" fontId="3" fillId="0" borderId="8" xfId="1" applyNumberFormat="1" applyFont="1" applyBorder="1" applyAlignment="1">
      <alignment wrapText="1"/>
    </xf>
    <xf numFmtId="0" fontId="0" fillId="0" borderId="8" xfId="0" applyFill="1" applyBorder="1" applyAlignment="1">
      <alignment wrapText="1"/>
    </xf>
    <xf numFmtId="4" fontId="0" fillId="0" borderId="8" xfId="1" applyNumberFormat="1" applyFont="1" applyBorder="1" applyAlignment="1">
      <alignment wrapText="1"/>
    </xf>
    <xf numFmtId="164" fontId="23" fillId="0" borderId="8" xfId="1" applyNumberFormat="1" applyFont="1" applyBorder="1" applyAlignment="1">
      <alignment wrapText="1"/>
    </xf>
    <xf numFmtId="0" fontId="23" fillId="0" borderId="1" xfId="0" applyFont="1" applyBorder="1" applyAlignment="1">
      <alignment wrapText="1"/>
    </xf>
    <xf numFmtId="43" fontId="23" fillId="0" borderId="0" xfId="1" applyFont="1"/>
    <xf numFmtId="0" fontId="27" fillId="0" borderId="0" xfId="0" applyFont="1" applyAlignment="1">
      <alignment horizontal="right" vertical="center" readingOrder="2"/>
    </xf>
  </cellXfs>
  <cellStyles count="12">
    <cellStyle name="Comma" xfId="1" builtinId="3"/>
    <cellStyle name="Comma 2" xfId="6" xr:uid="{00000000-0005-0000-0000-000001000000}"/>
    <cellStyle name="Currency 2" xfId="3" xr:uid="{00000000-0005-0000-0000-000002000000}"/>
    <cellStyle name="Normal" xfId="0" builtinId="0"/>
    <cellStyle name="Normal 2" xfId="2" xr:uid="{00000000-0005-0000-0000-000004000000}"/>
    <cellStyle name="Normal 3" xfId="4" xr:uid="{00000000-0005-0000-0000-000005000000}"/>
    <cellStyle name="Normal 3 2" xfId="7" xr:uid="{00000000-0005-0000-0000-000006000000}"/>
    <cellStyle name="Normal 4" xfId="5" xr:uid="{00000000-0005-0000-0000-000007000000}"/>
    <cellStyle name="Normal 5" xfId="8" xr:uid="{00000000-0005-0000-0000-000008000000}"/>
    <cellStyle name="Normal 6" xfId="9" xr:uid="{2F1738C3-ADEC-4A97-8EE0-663ED95AE09F}"/>
    <cellStyle name="Normal 7" xfId="10" xr:uid="{3CAFDB79-A9FD-4AD0-8C8C-80EF31E6537D}"/>
    <cellStyle name="Normal 8" xfId="11" xr:uid="{9E704763-5DE6-44DD-AF20-F9845AED0C6C}"/>
  </cellStyles>
  <dxfs count="54">
    <dxf>
      <font>
        <b val="0"/>
        <i val="0"/>
        <strike val="0"/>
        <condense val="0"/>
        <extend val="0"/>
        <outline val="0"/>
        <shadow val="0"/>
        <u val="none"/>
        <vertAlign val="baseline"/>
        <sz val="11"/>
        <color theme="1"/>
        <name val="David"/>
        <family val="2"/>
        <scheme val="none"/>
      </font>
      <numFmt numFmtId="35" formatCode="_ * #,##0.00_ ;_ * \-#,##0.00_ ;_ * &quot;-&quot;??_ ;_ @_ "/>
    </dxf>
    <dxf>
      <font>
        <b val="0"/>
        <i val="0"/>
        <strike val="0"/>
        <u val="none"/>
        <sz val="11"/>
        <color theme="1"/>
        <name val="David"/>
      </font>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family val="2"/>
        <scheme val="none"/>
      </font>
    </dxf>
    <dxf>
      <font>
        <b val="0"/>
        <i val="0"/>
        <strike val="0"/>
        <u val="none"/>
        <sz val="11"/>
        <color rgb="FFFF0000"/>
        <name val="David"/>
      </font>
    </dxf>
    <dxf>
      <alignment horizontal="center" vertical="center" textRotation="0" wrapText="0" shrinkToFit="0" readingOrder="0"/>
    </dxf>
    <dxf>
      <numFmt numFmtId="35" formatCode="_ * #,##0.00_ ;_ * \-#,##0.00_ ;_ * &quot;-&quot;??_ ;_ @_ "/>
    </dxf>
    <dxf>
      <numFmt numFmtId="35" formatCode="_ * #,##0.00_ ;_ * \-#,##0.00_ ;_ * &quot;-&quot;??_ ;_ @_ "/>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charset val="177"/>
        <scheme val="minor"/>
      </font>
      <numFmt numFmtId="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4" formatCode="#,##0.00"/>
      <alignment horizontal="general" vertical="bottom"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rgb="FFFF0000"/>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rgb="FFFF0000"/>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numFmt numFmtId="35" formatCode="_ * #,##0.00_ ;_ * \-#,##0.00_ ;_ * &quot;-&quot;??_ ;_ @_ "/>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35" formatCode="_ * #,##0.00_ ;_ * \-#,##0.00_ ;_ * &quot;-&quot;??_ ;_ @_ "/>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numFmt numFmtId="2"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2"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border outline="0">
        <top style="thin">
          <color indexed="64"/>
        </top>
      </border>
    </dxf>
    <dxf>
      <font>
        <strike val="0"/>
        <outline val="0"/>
        <shadow val="0"/>
        <u val="none"/>
        <vertAlign val="baseline"/>
        <sz val="11"/>
        <color rgb="FFFF0000"/>
        <name val="Arial"/>
        <family val="2"/>
        <scheme val="minor"/>
      </font>
    </dxf>
    <dxf>
      <font>
        <b/>
        <i val="0"/>
        <strike val="0"/>
        <condense val="0"/>
        <extend val="0"/>
        <outline val="0"/>
        <shadow val="0"/>
        <u val="none"/>
        <vertAlign val="baseline"/>
        <sz val="11"/>
        <color theme="1"/>
        <name val="Arial"/>
        <scheme val="minor"/>
      </font>
      <fill>
        <patternFill patternType="solid">
          <fgColor indexed="64"/>
          <bgColor rgb="FF00CC9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David"/>
        <family val="2"/>
        <scheme val="none"/>
      </font>
      <numFmt numFmtId="35" formatCode="_ * #,##0.00_ ;_ * \-#,##0.00_ ;_ * &quot;-&quot;??_ ;_ @_ "/>
    </dxf>
    <dxf>
      <font>
        <b val="0"/>
        <i val="0"/>
        <strike val="0"/>
        <u val="none"/>
        <sz val="11"/>
        <color theme="1"/>
        <name val="David"/>
      </font>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family val="2"/>
        <scheme val="none"/>
      </font>
    </dxf>
    <dxf>
      <font>
        <b val="0"/>
        <i val="0"/>
        <strike val="0"/>
        <u val="none"/>
        <sz val="11"/>
        <color rgb="FFFF0000"/>
        <name val="David"/>
      </font>
    </dxf>
    <dxf>
      <alignment horizontal="center" vertical="center" textRotation="0" wrapText="0" shrinkToFit="0" readingOrder="0"/>
    </dxf>
  </dxfs>
  <tableStyles count="0" defaultTableStyle="TableStyleMedium2" defaultPivotStyle="PivotStyleLight16"/>
  <colors>
    <mruColors>
      <color rgb="FFFFCC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493;&#1506;&#1491;&#1514;%20&#1495;&#1512;&#1497;&#1490;&#1497;&#1501;\&#1493;&#1506;&#1491;&#1514;%20&#1495;&#1512;&#1497;&#1490;&#1497;&#1501;%202021\&#1508;&#1506;&#1497;&#1500;&#1493;&#1514;%20&#1502;&#1493;&#1500;%20&#1493;&#1506;&#1491;&#1514;%20&#1495;&#1512;&#1497;&#1490;&#1497;&#1501;%20&#1489;&#1502;&#1513;&#1512;&#1491;%20&#1492;&#1488;&#1493;&#1510;&#1512;%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493;&#1506;&#1491;&#1514;%20&#1495;&#1512;&#1497;&#1490;&#1497;&#1501;\&#1493;&#1506;&#1491;&#1514;%20&#1495;&#1512;&#1497;&#1490;&#1497;&#1501;%202021\Copy%20of%20&#1508;&#1506;&#1497;&#1500;&#1493;&#1514;%20&#1502;&#1493;&#1500;%20&#1493;&#1506;&#1491;&#1514;%20&#1495;&#1512;&#1497;&#1490;&#1497;&#1501;%20&#1489;&#1502;&#1513;&#1512;&#1491;%20&#1492;&#1488;&#1493;&#1510;&#1512;%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ira.v/Documents/&#1514;&#1511;&#1510;&#1497;&#1489;/&#1511;&#1493;&#1489;&#1509;%20&#1492;&#1495;&#1512;&#1490;&#1493;&#1514;%202021-%20&#1508;&#1489;&#1512;&#1493;&#1488;&#15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hira.v/Documents/&#1492;&#1502;&#1506;&#1512;&#1498;%20&#1492;&#1496;&#1499;&#1504;&#1493;&#1500;&#1493;&#1490;&#1497;/&#1502;&#1506;&#1511;&#1489;%20&#1508;&#1506;&#1497;&#1500;&#1493;&#1514;%20&#1489;&#1493;&#1491;&#1511;&#1497;&#1501;%20&#1496;&#1499;&#1504;&#1493;&#1500;&#1493;&#1490;&#1497;&#1497;&#1501;_22.0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וח פניות לאוצר 2020"/>
      <sheetName val="דוח פניות לאוצר 2021"/>
      <sheetName val="פעילות מול ועדת חריגים במשרד הא"/>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וח פניות לאוצר 2020"/>
      <sheetName val="דוח פניות לאוצר 2021"/>
      <sheetName val="Copy of פעילות מול ועדת חריגים "/>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שילובי תקנות וקרנות"/>
      <sheetName val="תקנות ברשות"/>
      <sheetName val="שריוני תקציב"/>
      <sheetName val="2020"/>
    </sheetNames>
    <sheetDataSet>
      <sheetData sheetId="0">
        <row r="45">
          <cell r="N45">
            <v>2949415.3800000004</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שובי יתרה"/>
      <sheetName val="איסרד"/>
      <sheetName val="דוח 305"/>
      <sheetName val="דוח 103"/>
      <sheetName val="זוכי 2017"/>
      <sheetName val="זוכי 2019"/>
      <sheetName val="Excel1"/>
      <sheetName val="Excel2"/>
      <sheetName val="מכרז 04.2020"/>
      <sheetName val="מימושי אופציה יולי- 2020"/>
      <sheetName val="גיליון1"/>
      <sheetName val="גיליון1 (2)"/>
      <sheetName val="מימושי אופציה 02-21"/>
      <sheetName val="מימושי אופציה 03-21"/>
      <sheetName val="מימושי אופציה 04-21"/>
    </sheetNames>
    <sheetDataSet>
      <sheetData sheetId="0">
        <row r="21">
          <cell r="D21">
            <v>5630872.7412999999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CD5A6B-4192-4B6D-BB85-16BABCF1EE13}" name="Table133232323524242" displayName="Table133232323524242" ref="A7:D23" totalsRowCount="1" headerRowDxfId="53">
  <autoFilter ref="A7:D22" xr:uid="{00000000-0009-0000-0100-000001000000}"/>
  <sortState xmlns:xlrd2="http://schemas.microsoft.com/office/spreadsheetml/2017/richdata2" ref="A8:D22">
    <sortCondition ref="D7:D22"/>
  </sortState>
  <tableColumns count="4">
    <tableColumn id="1" xr3:uid="{CA0384C5-15F2-4FFB-BC55-80B093548943}" name="מס" dataDxfId="52" totalsRowDxfId="51"/>
    <tableColumn id="2" xr3:uid="{B0616EFC-FC48-45C5-8AEB-0DCB182F214B}" name="ספק" dataDxfId="50" totalsRowDxfId="49"/>
    <tableColumn id="3" xr3:uid="{CB966672-4869-4397-A46E-5B7E73B91EB3}" name="נושא ההתקשרות" dataDxfId="48" totalsRowDxfId="47"/>
    <tableColumn id="4" xr3:uid="{C5E03441-8A8A-4AD9-A506-7023F69670A5}" name="סכום ההתקשרות (סכום ההתקשרות ולא סכום המזומן)" totalsRowFunction="sum" dataDxfId="46" totalsRowDxfId="45"/>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62ACBA-0CEA-43E6-A062-9D56BF47E0A8}" name="Table1" displayName="Table1" ref="A1:O29" totalsRowCount="1" headerRowDxfId="44" totalsRowDxfId="43" totalsRowBorderDxfId="42" headerRowCellStyle="Comma">
  <autoFilter ref="A1:O28" xr:uid="{00000000-0009-0000-0100-000001000000}">
    <filterColumn colId="8">
      <filters>
        <filter val="38300191"/>
      </filters>
    </filterColumn>
    <filterColumn colId="10">
      <filters>
        <filter val="36901101"/>
      </filters>
    </filterColumn>
  </autoFilter>
  <tableColumns count="15">
    <tableColumn id="1" xr3:uid="{3CB35F64-4895-4E43-A017-CD430BFD0AAC}" name="23.00" dataDxfId="41" totalsRowDxfId="40"/>
    <tableColumn id="2" xr3:uid="{E0EF0061-9D6E-4EA0-951A-543A78971054}" name="שם הספק " dataDxfId="39" totalsRowDxfId="38"/>
    <tableColumn id="3" xr3:uid="{B9494E87-B48A-45EB-BFE4-02C4CE5A79ED}" name="מטרת ההתקשרות " dataDxfId="37" totalsRowDxfId="36"/>
    <tableColumn id="4" xr3:uid="{AE2BF67C-A96D-48C8-81E4-15985CF61F94}" name="סכום מבוקש בש&quot;ח כולל מעמ!!" dataDxfId="35" totalsRowDxfId="34" dataCellStyle="Comma" totalsRowCellStyle="Comma"/>
    <tableColumn id="5" xr3:uid="{0D975C3F-2880-4EE3-BB57-E775998ACF5D}" name="סכום התקשרות מצטבר מול הספק (אם רלוונטי)" dataDxfId="33" totalsRowDxfId="32" dataCellStyle="Comma" totalsRowCellStyle="Comma"/>
    <tableColumn id="6" xr3:uid="{5DFC74E0-289F-44A7-B747-6D26434BF84E}" name="יתרה מתקרת ההתקשרות" dataDxfId="31" totalsRowDxfId="30">
      <calculatedColumnFormula>$P$1-E2</calculatedColumnFormula>
    </tableColumn>
    <tableColumn id="7" xr3:uid="{8C752036-2A0B-4CE3-9EE1-1EFDEC1BDD08}" name="אושר בוועדת חריגים (אם כן, לציין מס פנייה ותאריך אישור)" dataDxfId="29" totalsRowDxfId="28"/>
    <tableColumn id="8" xr3:uid="{42CB213B-9B58-46B5-A4C3-E7AC44F545E6}" name="אושר בוועדת מכרזים (אם כן, לציין תאריך דיון)" dataDxfId="27" totalsRowDxfId="26"/>
    <tableColumn id="9" xr3:uid="{C5A2CEF8-45CD-4DC3-8CEB-BA3719BB839E}" name="תקנה/ פריט התחייבות" dataDxfId="25" totalsRowDxfId="24"/>
    <tableColumn id="10" xr3:uid="{E8696322-7DB9-4E4F-8FEC-CCFC7C1E0DED}" name="שם תקנה" dataDxfId="23" totalsRowDxfId="22"/>
    <tableColumn id="11" xr3:uid="{990FCFAF-4B96-49B6-9ABC-1EC26E0D458A}" name="מרכז קרנות" dataDxfId="21" totalsRowDxfId="20"/>
    <tableColumn id="12" xr3:uid="{D2685F56-9559-4BCB-9C42-E1783937F29B}" name="שם מרכז קרנות" dataDxfId="19" totalsRowDxfId="18"/>
    <tableColumn id="16" xr3:uid="{47B6589E-02A1-4CBF-8185-5C0BFBF8E50F}" name="נוצרה/ הוגדלה התחייבות מספר" dataDxfId="17" totalsRowDxfId="16"/>
    <tableColumn id="17" xr3:uid="{E8C11108-0D61-45B2-B9EC-2B58AB4CBE93}" name="שווי שורה/ הגדלה " totalsRowFunction="sum" dataDxfId="15" totalsRowDxfId="14" dataCellStyle="Comma" totalsRowCellStyle="Comma"/>
    <tableColumn id="18" xr3:uid="{357D6823-DA9C-4E5F-9140-B02D30CFCD74}" name="הפרש יתרה שלא נוצלה מהחרגה" dataDxfId="13" totalsRowDxfId="12" dataCellStyle="Comma" totalsRowCellStyle="Comma"/>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63997C-1800-4050-9F9D-7CBEFDD21CB6}" name="טבלה3" displayName="טבלה3" ref="A1:J11" totalsRowShown="0" headerRowDxfId="11">
  <autoFilter ref="A1:J11" xr:uid="{9A2FD62C-836E-458A-8FF1-BA29131AD9D4}"/>
  <tableColumns count="10">
    <tableColumn id="1" xr3:uid="{82D8F812-B5E9-4163-8386-9DA2619627C8}" name="מספר"/>
    <tableColumn id="2" xr3:uid="{49BD07CB-94CB-4E13-B2F4-74B9B88151E8}" name="תאריך פנייה"/>
    <tableColumn id="3" xr3:uid="{1CEE62B0-5CD1-404C-8949-848BAF808EA2}" name="נושא"/>
    <tableColumn id="4" xr3:uid="{114C1525-D26B-479A-B92D-017017D16B54}" name="סכום מבוקש" dataCellStyle="Comma"/>
    <tableColumn id="5" xr3:uid="{AA82840C-118D-43D3-9302-688B3856BD78}" name="סטטוס"/>
    <tableColumn id="6" xr3:uid="{D1CAD0BA-9E84-4611-9676-1F3EE1505C6C}" name="סכום מאושר" dataCellStyle="Comma"/>
    <tableColumn id="7" xr3:uid="{888F0346-9737-44CF-A7D8-06C9EFD501F2}" name="הפרש" dataDxfId="10" dataCellStyle="Comma">
      <calculatedColumnFormula>[1]!טבלה3[[#This Row],[סכום מבוקש]]-[1]!טבלה3[[#This Row],[סכום מאושר]]</calculatedColumnFormula>
    </tableColumn>
    <tableColumn id="8" xr3:uid="{280BFF2C-C252-41CB-9CD0-42ED7D238A91}" name="הערות" dataCellStyle="Comma"/>
    <tableColumn id="9" xr3:uid="{CEA58151-C723-43AC-A3B0-C644424C91EA}" name="ניצול מתוך הפנייה " dataCellStyle="Comma"/>
    <tableColumn id="10" xr3:uid="{A779EE34-98C6-4FCF-97AD-74492996CA27}" name="יתרה לניצול " dataDxfId="9" dataCellStyle="Comma">
      <calculatedColumnFormula>[2]!טבלה3[[#This Row],[סכום מאושר]]-[2]!טבלה3[[#This Row],[ניצול מתוך הפנייה ]]</calculatedColumnFormula>
    </tableColumn>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745FA66-F849-4D98-B91A-6D9D7E4E38D9}" name="Table1332323235242424" displayName="Table1332323235242424" ref="A7:D20" totalsRowCount="1" headerRowDxfId="8">
  <autoFilter ref="A7:D19" xr:uid="{00000000-0009-0000-0100-000001000000}"/>
  <sortState xmlns:xlrd2="http://schemas.microsoft.com/office/spreadsheetml/2017/richdata2" ref="A8:D19">
    <sortCondition ref="D7:D19"/>
  </sortState>
  <tableColumns count="4">
    <tableColumn id="1" xr3:uid="{E304E0E9-532D-47AF-81ED-11CE05DE3D8C}" name="מס" dataDxfId="7" totalsRowDxfId="6"/>
    <tableColumn id="2" xr3:uid="{54EA7BA2-B021-44C4-B5A9-7A2E99C59BA2}" name="ספק" dataDxfId="5" totalsRowDxfId="4"/>
    <tableColumn id="3" xr3:uid="{9F59EC3F-9688-47D5-9C2F-F0D8BB806D73}" name="נושא ההתקשרות" dataDxfId="3" totalsRowDxfId="2"/>
    <tableColumn id="4" xr3:uid="{FA555A67-AE1C-451C-81EB-E073AB6FE1FD}" name="סכום ההתקשרות (סכום ההתקשרות ולא סכום המזומן)" totalsRowFunction="sum" dataDxfId="1" totalsRow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70F39-F11F-4573-89A5-4F772D4FB876}">
  <dimension ref="A1:F23"/>
  <sheetViews>
    <sheetView rightToLeft="1" workbookViewId="0">
      <pane xSplit="4" ySplit="7" topLeftCell="E12" activePane="bottomRight" state="frozen"/>
      <selection pane="topRight" activeCell="E1" sqref="E1"/>
      <selection pane="bottomLeft" activeCell="A8" sqref="A8"/>
      <selection pane="bottomRight" activeCell="C21" sqref="C21"/>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0</v>
      </c>
      <c r="D2" s="17" t="s">
        <v>67</v>
      </c>
      <c r="F2"/>
    </row>
    <row r="3" spans="1:6" s="3" customFormat="1" ht="15.75" x14ac:dyDescent="0.25">
      <c r="C3" s="19" t="s">
        <v>1</v>
      </c>
      <c r="D3" s="5"/>
      <c r="F3"/>
    </row>
    <row r="4" spans="1:6" s="3" customFormat="1" ht="15.75" x14ac:dyDescent="0.25">
      <c r="C4" s="6" t="s">
        <v>25</v>
      </c>
      <c r="D4" s="7"/>
      <c r="F4"/>
    </row>
    <row r="5" spans="1:6" s="3" customFormat="1" ht="15" x14ac:dyDescent="0.25">
      <c r="C5" s="8"/>
      <c r="D5" s="9"/>
      <c r="F5"/>
    </row>
    <row r="6" spans="1:6" s="3" customFormat="1" ht="15.75" thickBot="1" x14ac:dyDescent="0.3">
      <c r="C6" s="10" t="s">
        <v>68</v>
      </c>
      <c r="D6" s="11"/>
      <c r="F6"/>
    </row>
    <row r="7" spans="1:6" ht="28.5" x14ac:dyDescent="0.2">
      <c r="A7" s="12" t="s">
        <v>2</v>
      </c>
      <c r="B7" s="12" t="s">
        <v>3</v>
      </c>
      <c r="C7" s="12" t="s">
        <v>4</v>
      </c>
      <c r="D7" s="13" t="s">
        <v>5</v>
      </c>
    </row>
    <row r="8" spans="1:6" s="16" customFormat="1" ht="15" x14ac:dyDescent="0.25">
      <c r="A8" s="14">
        <v>1</v>
      </c>
      <c r="B8" s="15"/>
      <c r="C8" s="15" t="s">
        <v>82</v>
      </c>
      <c r="D8" s="26">
        <v>4233.5</v>
      </c>
    </row>
    <row r="9" spans="1:6" s="16" customFormat="1" ht="15" x14ac:dyDescent="0.25">
      <c r="A9" s="14">
        <v>2</v>
      </c>
      <c r="B9" s="15"/>
      <c r="C9" s="15" t="s">
        <v>83</v>
      </c>
      <c r="D9" s="26">
        <v>5262</v>
      </c>
    </row>
    <row r="10" spans="1:6" s="16" customFormat="1" ht="15" x14ac:dyDescent="0.25">
      <c r="A10" s="14">
        <v>3</v>
      </c>
      <c r="B10" s="15"/>
      <c r="C10" s="15" t="s">
        <v>81</v>
      </c>
      <c r="D10" s="26">
        <v>5265</v>
      </c>
    </row>
    <row r="11" spans="1:6" s="16" customFormat="1" ht="15" x14ac:dyDescent="0.25">
      <c r="A11" s="14">
        <v>4</v>
      </c>
      <c r="B11" s="15"/>
      <c r="C11" s="15" t="s">
        <v>73</v>
      </c>
      <c r="D11" s="26">
        <v>7449.32</v>
      </c>
    </row>
    <row r="12" spans="1:6" s="16" customFormat="1" ht="15" x14ac:dyDescent="0.25">
      <c r="A12" s="14">
        <v>5</v>
      </c>
      <c r="B12" s="15"/>
      <c r="C12" s="18" t="s">
        <v>72</v>
      </c>
      <c r="D12" s="26">
        <v>10240</v>
      </c>
    </row>
    <row r="13" spans="1:6" s="16" customFormat="1" ht="15" x14ac:dyDescent="0.25">
      <c r="A13" s="14">
        <v>6</v>
      </c>
      <c r="B13" s="15"/>
      <c r="C13" s="15" t="s">
        <v>76</v>
      </c>
      <c r="D13" s="26">
        <v>32301</v>
      </c>
    </row>
    <row r="14" spans="1:6" s="16" customFormat="1" ht="15" x14ac:dyDescent="0.25">
      <c r="A14" s="14">
        <v>7</v>
      </c>
      <c r="B14" s="15"/>
      <c r="C14" s="15" t="s">
        <v>74</v>
      </c>
      <c r="D14" s="26">
        <v>42000</v>
      </c>
    </row>
    <row r="15" spans="1:6" s="16" customFormat="1" ht="30" x14ac:dyDescent="0.25">
      <c r="A15" s="14">
        <v>8</v>
      </c>
      <c r="B15" s="15"/>
      <c r="C15" s="15" t="s">
        <v>80</v>
      </c>
      <c r="D15" s="26">
        <v>45182</v>
      </c>
    </row>
    <row r="16" spans="1:6" ht="15" x14ac:dyDescent="0.25">
      <c r="A16" s="14">
        <v>9</v>
      </c>
      <c r="B16" s="25"/>
      <c r="C16" s="25" t="s">
        <v>69</v>
      </c>
      <c r="D16" s="26">
        <f>31020+18252</f>
        <v>49272</v>
      </c>
    </row>
    <row r="17" spans="1:4" ht="30" x14ac:dyDescent="0.25">
      <c r="A17" s="14">
        <v>10</v>
      </c>
      <c r="B17" s="15"/>
      <c r="C17" s="15" t="s">
        <v>79</v>
      </c>
      <c r="D17" s="26">
        <v>49643.92</v>
      </c>
    </row>
    <row r="18" spans="1:4" s="16" customFormat="1" ht="30" x14ac:dyDescent="0.25">
      <c r="A18" s="14">
        <v>11</v>
      </c>
      <c r="B18" s="15"/>
      <c r="C18" s="15" t="s">
        <v>78</v>
      </c>
      <c r="D18" s="26">
        <v>50000</v>
      </c>
    </row>
    <row r="19" spans="1:4" s="16" customFormat="1" ht="15" x14ac:dyDescent="0.25">
      <c r="A19" s="14">
        <v>12</v>
      </c>
      <c r="B19" s="25"/>
      <c r="C19" s="25" t="s">
        <v>70</v>
      </c>
      <c r="D19" s="26">
        <v>59603.6</v>
      </c>
    </row>
    <row r="20" spans="1:4" s="16" customFormat="1" ht="15" x14ac:dyDescent="0.25">
      <c r="A20" s="14">
        <v>13</v>
      </c>
      <c r="B20" s="15"/>
      <c r="C20" s="15" t="s">
        <v>77</v>
      </c>
      <c r="D20" s="26">
        <v>148500</v>
      </c>
    </row>
    <row r="21" spans="1:4" s="16" customFormat="1" ht="30" x14ac:dyDescent="0.25">
      <c r="A21" s="14">
        <v>14</v>
      </c>
      <c r="B21" s="25"/>
      <c r="C21" s="25" t="s">
        <v>71</v>
      </c>
      <c r="D21" s="26">
        <v>224640</v>
      </c>
    </row>
    <row r="22" spans="1:4" s="16" customFormat="1" ht="15" x14ac:dyDescent="0.25">
      <c r="A22" s="14">
        <v>15</v>
      </c>
      <c r="B22" s="25"/>
      <c r="C22" s="25" t="s">
        <v>75</v>
      </c>
      <c r="D22" s="26">
        <f>(107554.2+203940.48+136800)*1.17</f>
        <v>524504.77559999994</v>
      </c>
    </row>
    <row r="23" spans="1:4" ht="15" x14ac:dyDescent="0.25">
      <c r="A23" s="48"/>
      <c r="B23" s="25"/>
      <c r="C23" s="25"/>
      <c r="D23" s="50">
        <f>SUBTOTAL(109,Table133232323524242[סכום ההתקשרות (סכום ההתקשרות ולא סכום המזומן)])</f>
        <v>1258097.1155999999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4BB60-0788-411A-A865-B6DC3405723E}">
  <dimension ref="A1:R29"/>
  <sheetViews>
    <sheetView rightToLeft="1" zoomScale="80" zoomScaleNormal="80" workbookViewId="0">
      <pane ySplit="1" topLeftCell="A2" activePane="bottomLeft" state="frozen"/>
      <selection pane="bottomLeft" activeCell="N3" sqref="N3"/>
    </sheetView>
  </sheetViews>
  <sheetFormatPr defaultColWidth="9" defaultRowHeight="14.25" x14ac:dyDescent="0.2"/>
  <cols>
    <col min="1" max="1" width="6.875" style="39" customWidth="1"/>
    <col min="2" max="2" width="22.5" style="20" customWidth="1"/>
    <col min="3" max="3" width="31.5" style="20" customWidth="1"/>
    <col min="4" max="4" width="15.75" style="24" customWidth="1"/>
    <col min="5" max="5" width="15.125" style="24" hidden="1" customWidth="1"/>
    <col min="6" max="6" width="12.625" style="20" hidden="1" customWidth="1"/>
    <col min="7" max="7" width="16.25" style="20" hidden="1" customWidth="1"/>
    <col min="8" max="8" width="18.75" style="20" hidden="1" customWidth="1"/>
    <col min="9" max="12" width="18.75" style="20" customWidth="1"/>
    <col min="13" max="13" width="21.125" style="20" bestFit="1" customWidth="1"/>
    <col min="14" max="14" width="14" style="24" bestFit="1" customWidth="1"/>
    <col min="15" max="15" width="18" style="38" bestFit="1" customWidth="1"/>
    <col min="16" max="17" width="13.5" style="20" hidden="1" customWidth="1"/>
    <col min="18" max="18" width="11.375" style="20" hidden="1" customWidth="1"/>
    <col min="19" max="16384" width="9" style="20"/>
  </cols>
  <sheetData>
    <row r="1" spans="1:18" s="37" customFormat="1" ht="45" x14ac:dyDescent="0.2">
      <c r="A1" s="32" t="s">
        <v>60</v>
      </c>
      <c r="B1" s="33" t="s">
        <v>6</v>
      </c>
      <c r="C1" s="34" t="s">
        <v>49</v>
      </c>
      <c r="D1" s="35" t="s">
        <v>7</v>
      </c>
      <c r="E1" s="35" t="s">
        <v>50</v>
      </c>
      <c r="F1" s="34" t="s">
        <v>51</v>
      </c>
      <c r="G1" s="34" t="s">
        <v>52</v>
      </c>
      <c r="H1" s="34" t="s">
        <v>53</v>
      </c>
      <c r="I1" s="34" t="s">
        <v>8</v>
      </c>
      <c r="J1" s="34" t="s">
        <v>9</v>
      </c>
      <c r="K1" s="34" t="s">
        <v>10</v>
      </c>
      <c r="L1" s="34" t="s">
        <v>11</v>
      </c>
      <c r="M1" s="34" t="s">
        <v>54</v>
      </c>
      <c r="N1" s="35" t="s">
        <v>55</v>
      </c>
      <c r="O1" s="36" t="s">
        <v>56</v>
      </c>
      <c r="P1" s="37" t="s">
        <v>57</v>
      </c>
      <c r="Q1" s="37" t="s">
        <v>58</v>
      </c>
      <c r="R1" s="37" t="s">
        <v>59</v>
      </c>
    </row>
    <row r="2" spans="1:18" s="57" customFormat="1" hidden="1" x14ac:dyDescent="0.2">
      <c r="A2" s="52">
        <v>1.07</v>
      </c>
      <c r="B2" s="53" t="s">
        <v>84</v>
      </c>
      <c r="C2" s="53" t="s">
        <v>85</v>
      </c>
      <c r="D2" s="55">
        <f>(14*455)*1.17</f>
        <v>7452.9</v>
      </c>
      <c r="E2" s="30"/>
      <c r="F2" s="31" t="e">
        <f t="shared" ref="F2:F6" si="0">$P$1-E2</f>
        <v>#VALUE!</v>
      </c>
      <c r="G2" s="29"/>
      <c r="H2" s="29"/>
      <c r="I2" s="63">
        <v>38300191</v>
      </c>
      <c r="J2" s="63" t="s">
        <v>12</v>
      </c>
      <c r="K2" s="63">
        <v>36901021</v>
      </c>
      <c r="L2" s="63" t="s">
        <v>15</v>
      </c>
      <c r="M2" s="53">
        <v>4502048644</v>
      </c>
      <c r="N2" s="55">
        <v>7452</v>
      </c>
      <c r="O2" s="56">
        <f t="shared" ref="O2:O7" si="1">D2-N2</f>
        <v>0.8999999999996362</v>
      </c>
      <c r="P2" s="20"/>
      <c r="Q2" s="20"/>
      <c r="R2" s="20"/>
    </row>
    <row r="3" spans="1:18" s="40" customFormat="1" ht="28.5" x14ac:dyDescent="0.2">
      <c r="A3" s="42">
        <v>5.07</v>
      </c>
      <c r="B3" s="43" t="s">
        <v>86</v>
      </c>
      <c r="C3" s="43" t="s">
        <v>87</v>
      </c>
      <c r="D3" s="44">
        <f>(172000+22450+3600)*1.17</f>
        <v>231718.5</v>
      </c>
      <c r="E3" s="44"/>
      <c r="F3" s="51" t="e">
        <f t="shared" si="0"/>
        <v>#VALUE!</v>
      </c>
      <c r="G3" s="43"/>
      <c r="H3" s="43" t="s">
        <v>88</v>
      </c>
      <c r="I3" s="41">
        <v>38300191</v>
      </c>
      <c r="J3" s="49" t="s">
        <v>12</v>
      </c>
      <c r="K3" s="49">
        <v>36901101</v>
      </c>
      <c r="L3" s="49" t="s">
        <v>65</v>
      </c>
      <c r="M3" s="43">
        <v>4502049825</v>
      </c>
      <c r="N3" s="44">
        <v>227506.62</v>
      </c>
      <c r="O3" s="46">
        <f t="shared" si="1"/>
        <v>4211.8800000000047</v>
      </c>
    </row>
    <row r="4" spans="1:18" s="57" customFormat="1" hidden="1" x14ac:dyDescent="0.2">
      <c r="A4" s="52">
        <v>6.07</v>
      </c>
      <c r="B4" s="53" t="s">
        <v>89</v>
      </c>
      <c r="C4" s="53" t="s">
        <v>90</v>
      </c>
      <c r="D4" s="55">
        <v>11313</v>
      </c>
      <c r="E4" s="30"/>
      <c r="F4" s="31" t="e">
        <f t="shared" si="0"/>
        <v>#VALUE!</v>
      </c>
      <c r="G4" s="29"/>
      <c r="H4" s="29"/>
      <c r="I4" s="53">
        <v>38300191</v>
      </c>
      <c r="J4" s="53" t="s">
        <v>12</v>
      </c>
      <c r="K4" s="53">
        <v>36901024</v>
      </c>
      <c r="L4" s="53" t="s">
        <v>13</v>
      </c>
      <c r="M4" s="53">
        <v>4502050288</v>
      </c>
      <c r="N4" s="55">
        <v>11313.9</v>
      </c>
      <c r="O4" s="56">
        <f t="shared" si="1"/>
        <v>-0.8999999999996362</v>
      </c>
      <c r="P4" s="20"/>
      <c r="Q4" s="20"/>
      <c r="R4" s="20"/>
    </row>
    <row r="5" spans="1:18" s="57" customFormat="1" ht="28.5" hidden="1" x14ac:dyDescent="0.2">
      <c r="A5" s="52">
        <v>6.07</v>
      </c>
      <c r="B5" s="53" t="s">
        <v>91</v>
      </c>
      <c r="C5" s="63" t="s">
        <v>92</v>
      </c>
      <c r="D5" s="55">
        <f>20000*1.17</f>
        <v>23400</v>
      </c>
      <c r="E5" s="30"/>
      <c r="F5" s="31" t="e">
        <f t="shared" si="0"/>
        <v>#VALUE!</v>
      </c>
      <c r="G5" s="29"/>
      <c r="H5" s="29"/>
      <c r="I5" s="63">
        <v>38300191</v>
      </c>
      <c r="J5" s="63" t="s">
        <v>12</v>
      </c>
      <c r="K5" s="63">
        <v>36901024</v>
      </c>
      <c r="L5" s="63" t="s">
        <v>13</v>
      </c>
      <c r="M5" s="63">
        <v>4501988331</v>
      </c>
      <c r="N5" s="55">
        <f>20000*1.17</f>
        <v>23400</v>
      </c>
      <c r="O5" s="56">
        <f t="shared" si="1"/>
        <v>0</v>
      </c>
      <c r="P5" s="20"/>
      <c r="Q5" s="20"/>
      <c r="R5" s="20"/>
    </row>
    <row r="6" spans="1:18" s="57" customFormat="1" hidden="1" x14ac:dyDescent="0.2">
      <c r="A6" s="52">
        <v>7.07</v>
      </c>
      <c r="B6" s="53" t="s">
        <v>93</v>
      </c>
      <c r="C6" s="53" t="s">
        <v>94</v>
      </c>
      <c r="D6" s="55">
        <f>7500*1.17</f>
        <v>8775</v>
      </c>
      <c r="E6" s="30"/>
      <c r="F6" s="31" t="e">
        <f t="shared" si="0"/>
        <v>#VALUE!</v>
      </c>
      <c r="G6" s="29"/>
      <c r="H6" s="29"/>
      <c r="I6" s="63">
        <v>38300191</v>
      </c>
      <c r="J6" s="63" t="s">
        <v>12</v>
      </c>
      <c r="K6" s="63">
        <v>3690112</v>
      </c>
      <c r="L6" s="63" t="s">
        <v>23</v>
      </c>
      <c r="M6" s="53">
        <v>4502051012</v>
      </c>
      <c r="N6" s="55">
        <v>8775</v>
      </c>
      <c r="O6" s="56">
        <f t="shared" si="1"/>
        <v>0</v>
      </c>
      <c r="P6" s="20"/>
      <c r="Q6" s="20"/>
      <c r="R6" s="20"/>
    </row>
    <row r="7" spans="1:18" s="57" customFormat="1" hidden="1" x14ac:dyDescent="0.2">
      <c r="A7" s="52">
        <v>8.07</v>
      </c>
      <c r="B7" s="53" t="s">
        <v>95</v>
      </c>
      <c r="C7" s="53" t="s">
        <v>96</v>
      </c>
      <c r="D7" s="55">
        <v>26325</v>
      </c>
      <c r="E7" s="30"/>
      <c r="F7" s="31" t="e">
        <f t="shared" ref="F7:F28" si="2">$P$1-E7</f>
        <v>#VALUE!</v>
      </c>
      <c r="G7" s="29"/>
      <c r="H7" s="29" t="s">
        <v>97</v>
      </c>
      <c r="I7" s="63">
        <v>38300191</v>
      </c>
      <c r="J7" s="63" t="s">
        <v>12</v>
      </c>
      <c r="K7" s="63">
        <v>3690112</v>
      </c>
      <c r="L7" s="63" t="s">
        <v>23</v>
      </c>
      <c r="M7" s="53">
        <v>4502051168</v>
      </c>
      <c r="N7" s="55">
        <v>26325</v>
      </c>
      <c r="O7" s="56">
        <f t="shared" si="1"/>
        <v>0</v>
      </c>
      <c r="P7" s="20"/>
      <c r="Q7" s="20"/>
      <c r="R7" s="20"/>
    </row>
    <row r="8" spans="1:18" s="57" customFormat="1" hidden="1" x14ac:dyDescent="0.2">
      <c r="A8" s="52">
        <v>8.07</v>
      </c>
      <c r="B8" s="53" t="s">
        <v>98</v>
      </c>
      <c r="C8" s="53" t="s">
        <v>99</v>
      </c>
      <c r="D8" s="62">
        <f>1764*3.4</f>
        <v>5997.5999999999995</v>
      </c>
      <c r="E8" s="30"/>
      <c r="F8" s="31" t="e">
        <f t="shared" si="2"/>
        <v>#VALUE!</v>
      </c>
      <c r="G8" s="29"/>
      <c r="H8" s="29"/>
      <c r="I8" s="63">
        <v>38300191</v>
      </c>
      <c r="J8" s="63" t="s">
        <v>12</v>
      </c>
      <c r="K8" s="63">
        <v>3690112</v>
      </c>
      <c r="L8" s="63" t="s">
        <v>23</v>
      </c>
      <c r="M8" s="53">
        <v>4502053801</v>
      </c>
      <c r="N8" s="55">
        <v>5997</v>
      </c>
      <c r="O8" s="56">
        <v>0</v>
      </c>
      <c r="P8" s="20"/>
      <c r="Q8" s="20"/>
      <c r="R8" s="20"/>
    </row>
    <row r="9" spans="1:18" s="57" customFormat="1" hidden="1" x14ac:dyDescent="0.2">
      <c r="A9" s="52">
        <v>11.07</v>
      </c>
      <c r="B9" s="53" t="s">
        <v>100</v>
      </c>
      <c r="C9" s="53" t="s">
        <v>101</v>
      </c>
      <c r="D9" s="55">
        <v>4820.3999999999996</v>
      </c>
      <c r="E9" s="30"/>
      <c r="F9" s="31" t="e">
        <f t="shared" si="2"/>
        <v>#VALUE!</v>
      </c>
      <c r="G9" s="29"/>
      <c r="H9" s="29"/>
      <c r="I9" s="63">
        <v>38300191</v>
      </c>
      <c r="J9" s="63" t="s">
        <v>12</v>
      </c>
      <c r="K9" s="63">
        <v>36901024</v>
      </c>
      <c r="L9" s="63" t="s">
        <v>13</v>
      </c>
      <c r="M9" s="53">
        <v>4502052539</v>
      </c>
      <c r="N9" s="55">
        <v>4820</v>
      </c>
      <c r="O9" s="56">
        <f t="shared" ref="O9:O28" si="3">D9-N9</f>
        <v>0.3999999999996362</v>
      </c>
      <c r="P9" s="20"/>
      <c r="Q9" s="20"/>
      <c r="R9" s="20"/>
    </row>
    <row r="10" spans="1:18" s="57" customFormat="1" hidden="1" x14ac:dyDescent="0.2">
      <c r="A10" s="52">
        <v>18.07</v>
      </c>
      <c r="B10" s="53" t="s">
        <v>102</v>
      </c>
      <c r="C10" s="53" t="s">
        <v>103</v>
      </c>
      <c r="D10" s="55">
        <f>450*1.17</f>
        <v>526.5</v>
      </c>
      <c r="E10" s="30"/>
      <c r="F10" s="31" t="e">
        <f t="shared" si="2"/>
        <v>#VALUE!</v>
      </c>
      <c r="G10" s="29"/>
      <c r="H10" s="29"/>
      <c r="I10" s="63">
        <v>38300191</v>
      </c>
      <c r="J10" s="63" t="s">
        <v>12</v>
      </c>
      <c r="K10" s="63">
        <v>36901024</v>
      </c>
      <c r="L10" s="63" t="s">
        <v>13</v>
      </c>
      <c r="M10" s="53">
        <v>4502053579</v>
      </c>
      <c r="N10" s="55">
        <v>526.5</v>
      </c>
      <c r="O10" s="56">
        <f t="shared" si="3"/>
        <v>0</v>
      </c>
      <c r="P10" s="20"/>
      <c r="Q10" s="20"/>
      <c r="R10" s="20"/>
    </row>
    <row r="11" spans="1:18" s="40" customFormat="1" ht="29.25" hidden="1" x14ac:dyDescent="0.25">
      <c r="A11" s="42">
        <v>18.07</v>
      </c>
      <c r="B11" s="43" t="s">
        <v>104</v>
      </c>
      <c r="C11" s="53" t="s">
        <v>155</v>
      </c>
      <c r="D11" s="59">
        <v>3400000</v>
      </c>
      <c r="E11" s="30"/>
      <c r="F11" s="31" t="e">
        <f t="shared" si="2"/>
        <v>#VALUE!</v>
      </c>
      <c r="G11" s="29"/>
      <c r="H11" s="29"/>
      <c r="I11" s="54">
        <v>38300402</v>
      </c>
      <c r="J11" s="49" t="s">
        <v>105</v>
      </c>
      <c r="K11" s="49">
        <v>3690105</v>
      </c>
      <c r="L11" s="49" t="s">
        <v>106</v>
      </c>
      <c r="M11" s="43">
        <v>4502053208</v>
      </c>
      <c r="N11" s="44">
        <f>1000000*3.4</f>
        <v>3400000</v>
      </c>
      <c r="O11" s="58">
        <f t="shared" si="3"/>
        <v>0</v>
      </c>
      <c r="P11" s="20"/>
      <c r="Q11" s="20"/>
      <c r="R11" s="20"/>
    </row>
    <row r="12" spans="1:18" s="57" customFormat="1" hidden="1" x14ac:dyDescent="0.2">
      <c r="A12" s="52">
        <v>18.07</v>
      </c>
      <c r="B12" s="53" t="s">
        <v>107</v>
      </c>
      <c r="C12" s="53" t="s">
        <v>108</v>
      </c>
      <c r="D12" s="55">
        <f>52650*1.17</f>
        <v>61600.499999999993</v>
      </c>
      <c r="E12" s="30"/>
      <c r="F12" s="31" t="e">
        <f t="shared" si="2"/>
        <v>#VALUE!</v>
      </c>
      <c r="G12" s="29"/>
      <c r="H12" s="29" t="s">
        <v>109</v>
      </c>
      <c r="I12" s="41">
        <v>38300191</v>
      </c>
      <c r="J12" s="41" t="s">
        <v>12</v>
      </c>
      <c r="K12" s="41">
        <v>36901026</v>
      </c>
      <c r="L12" s="41" t="s">
        <v>110</v>
      </c>
      <c r="M12" s="53">
        <v>4502002341</v>
      </c>
      <c r="N12" s="55">
        <v>61600.5</v>
      </c>
      <c r="O12" s="56">
        <f t="shared" si="3"/>
        <v>0</v>
      </c>
      <c r="P12" s="20"/>
      <c r="Q12" s="20"/>
      <c r="R12" s="20"/>
    </row>
    <row r="13" spans="1:18" hidden="1" x14ac:dyDescent="0.2">
      <c r="A13" s="45">
        <v>18.07</v>
      </c>
      <c r="B13" s="29" t="s">
        <v>111</v>
      </c>
      <c r="C13" s="29" t="s">
        <v>112</v>
      </c>
      <c r="D13" s="30">
        <v>104000</v>
      </c>
      <c r="E13" s="30"/>
      <c r="F13" s="31" t="e">
        <f t="shared" si="2"/>
        <v>#VALUE!</v>
      </c>
      <c r="G13" s="29"/>
      <c r="H13" s="29" t="s">
        <v>109</v>
      </c>
      <c r="I13" s="29"/>
      <c r="J13" s="29"/>
      <c r="K13" s="29"/>
      <c r="L13" s="29"/>
      <c r="M13" s="29"/>
      <c r="N13" s="44"/>
      <c r="O13" s="46">
        <f t="shared" si="3"/>
        <v>104000</v>
      </c>
    </row>
    <row r="14" spans="1:18" s="57" customFormat="1" ht="28.5" hidden="1" x14ac:dyDescent="0.2">
      <c r="A14" s="52">
        <v>18.07</v>
      </c>
      <c r="B14" s="53" t="s">
        <v>62</v>
      </c>
      <c r="C14" s="53" t="s">
        <v>113</v>
      </c>
      <c r="D14" s="55">
        <f>(6500*3.4)*1.17</f>
        <v>25857</v>
      </c>
      <c r="E14" s="30"/>
      <c r="F14" s="31" t="e">
        <f t="shared" si="2"/>
        <v>#VALUE!</v>
      </c>
      <c r="G14" s="29"/>
      <c r="H14" s="29" t="s">
        <v>109</v>
      </c>
      <c r="I14" s="63">
        <v>38300191</v>
      </c>
      <c r="J14" s="63" t="s">
        <v>12</v>
      </c>
      <c r="K14" s="63">
        <v>36901021</v>
      </c>
      <c r="L14" s="63" t="s">
        <v>15</v>
      </c>
      <c r="M14" s="53">
        <v>4502057012</v>
      </c>
      <c r="N14" s="55">
        <v>24944.400000000001</v>
      </c>
      <c r="O14" s="56">
        <f t="shared" si="3"/>
        <v>912.59999999999854</v>
      </c>
      <c r="P14" s="20"/>
      <c r="Q14" s="20"/>
      <c r="R14" s="20"/>
    </row>
    <row r="15" spans="1:18" hidden="1" x14ac:dyDescent="0.2">
      <c r="A15" s="45">
        <v>18.07</v>
      </c>
      <c r="B15" s="29" t="s">
        <v>114</v>
      </c>
      <c r="C15" s="29" t="s">
        <v>115</v>
      </c>
      <c r="D15" s="30">
        <v>1976</v>
      </c>
      <c r="E15" s="30"/>
      <c r="F15" s="31" t="e">
        <f t="shared" si="2"/>
        <v>#VALUE!</v>
      </c>
      <c r="G15" s="29"/>
      <c r="H15" s="29"/>
      <c r="I15" s="29"/>
      <c r="J15" s="29"/>
      <c r="K15" s="29"/>
      <c r="L15" s="29"/>
      <c r="M15" s="29"/>
      <c r="N15" s="44"/>
      <c r="O15" s="46">
        <f t="shared" si="3"/>
        <v>1976</v>
      </c>
    </row>
    <row r="16" spans="1:18" s="57" customFormat="1" hidden="1" x14ac:dyDescent="0.2">
      <c r="A16" s="52">
        <v>18.07</v>
      </c>
      <c r="B16" s="53" t="s">
        <v>116</v>
      </c>
      <c r="C16" s="53" t="s">
        <v>117</v>
      </c>
      <c r="D16" s="55">
        <v>20000</v>
      </c>
      <c r="E16" s="30"/>
      <c r="F16" s="31" t="e">
        <f t="shared" si="2"/>
        <v>#VALUE!</v>
      </c>
      <c r="G16" s="29"/>
      <c r="H16" s="29"/>
      <c r="I16" s="63">
        <v>38300191</v>
      </c>
      <c r="J16" s="63" t="s">
        <v>12</v>
      </c>
      <c r="K16" s="63">
        <v>3690112</v>
      </c>
      <c r="L16" s="63" t="s">
        <v>23</v>
      </c>
      <c r="M16" s="53">
        <v>4502052934</v>
      </c>
      <c r="N16" s="55">
        <v>20000</v>
      </c>
      <c r="O16" s="56">
        <f t="shared" si="3"/>
        <v>0</v>
      </c>
      <c r="P16" s="20"/>
      <c r="Q16" s="20"/>
      <c r="R16" s="20"/>
    </row>
    <row r="17" spans="1:18" s="57" customFormat="1" hidden="1" x14ac:dyDescent="0.2">
      <c r="A17" s="52">
        <v>25.07</v>
      </c>
      <c r="B17" s="53" t="s">
        <v>118</v>
      </c>
      <c r="C17" s="54" t="s">
        <v>119</v>
      </c>
      <c r="D17" s="55">
        <f>3482+49</f>
        <v>3531</v>
      </c>
      <c r="E17" s="30"/>
      <c r="F17" s="31" t="e">
        <f t="shared" si="2"/>
        <v>#VALUE!</v>
      </c>
      <c r="G17" s="29"/>
      <c r="H17" s="29"/>
      <c r="I17" s="41">
        <v>38300105</v>
      </c>
      <c r="J17" s="41" t="s">
        <v>120</v>
      </c>
      <c r="K17" s="41">
        <v>3690102</v>
      </c>
      <c r="L17" s="41" t="s">
        <v>121</v>
      </c>
      <c r="M17" s="53">
        <v>4502056654</v>
      </c>
      <c r="N17" s="55">
        <v>3528.97</v>
      </c>
      <c r="O17" s="56">
        <f t="shared" si="3"/>
        <v>2.0300000000002001</v>
      </c>
      <c r="P17" s="20"/>
      <c r="Q17" s="20"/>
      <c r="R17" s="20"/>
    </row>
    <row r="18" spans="1:18" s="57" customFormat="1" hidden="1" x14ac:dyDescent="0.2">
      <c r="A18" s="52">
        <v>25.07</v>
      </c>
      <c r="B18" s="53" t="s">
        <v>122</v>
      </c>
      <c r="C18" s="53" t="s">
        <v>123</v>
      </c>
      <c r="D18" s="55">
        <f>145000*1.17</f>
        <v>169650</v>
      </c>
      <c r="E18" s="30"/>
      <c r="F18" s="31" t="e">
        <f t="shared" si="2"/>
        <v>#VALUE!</v>
      </c>
      <c r="G18" s="29"/>
      <c r="H18" s="29" t="s">
        <v>88</v>
      </c>
      <c r="I18" s="41">
        <v>38300191</v>
      </c>
      <c r="J18" s="41" t="s">
        <v>12</v>
      </c>
      <c r="K18" s="41">
        <v>3690102</v>
      </c>
      <c r="L18" s="41" t="s">
        <v>121</v>
      </c>
      <c r="M18" s="53">
        <v>4501468518</v>
      </c>
      <c r="N18" s="55">
        <f>145000*1.17</f>
        <v>169650</v>
      </c>
      <c r="O18" s="56">
        <f t="shared" si="3"/>
        <v>0</v>
      </c>
      <c r="P18" s="20"/>
      <c r="Q18" s="20"/>
      <c r="R18" s="20"/>
    </row>
    <row r="19" spans="1:18" s="57" customFormat="1" hidden="1" x14ac:dyDescent="0.2">
      <c r="A19" s="52">
        <v>25.07</v>
      </c>
      <c r="B19" s="53" t="s">
        <v>124</v>
      </c>
      <c r="C19" s="53" t="s">
        <v>125</v>
      </c>
      <c r="D19" s="55">
        <v>18000</v>
      </c>
      <c r="E19" s="30"/>
      <c r="F19" s="31" t="e">
        <f t="shared" si="2"/>
        <v>#VALUE!</v>
      </c>
      <c r="G19" s="29"/>
      <c r="H19" s="29"/>
      <c r="I19" s="63">
        <v>38300191</v>
      </c>
      <c r="J19" s="63" t="s">
        <v>12</v>
      </c>
      <c r="K19" s="63">
        <v>36901024</v>
      </c>
      <c r="L19" s="63" t="s">
        <v>13</v>
      </c>
      <c r="M19" s="53">
        <v>4502056326</v>
      </c>
      <c r="N19" s="55">
        <v>18000</v>
      </c>
      <c r="O19" s="56">
        <f t="shared" si="3"/>
        <v>0</v>
      </c>
      <c r="P19" s="20"/>
      <c r="Q19" s="20"/>
      <c r="R19" s="20"/>
    </row>
    <row r="20" spans="1:18" s="40" customFormat="1" ht="28.5" hidden="1" x14ac:dyDescent="0.2">
      <c r="A20" s="42">
        <v>25.07</v>
      </c>
      <c r="B20" s="43" t="s">
        <v>126</v>
      </c>
      <c r="C20" s="43" t="s">
        <v>127</v>
      </c>
      <c r="D20" s="44">
        <f>750000*1.17</f>
        <v>877500</v>
      </c>
      <c r="E20" s="30"/>
      <c r="F20" s="31" t="e">
        <f t="shared" si="2"/>
        <v>#VALUE!</v>
      </c>
      <c r="G20" s="29" t="s">
        <v>128</v>
      </c>
      <c r="H20" s="29" t="s">
        <v>129</v>
      </c>
      <c r="I20" s="49">
        <v>38300121</v>
      </c>
      <c r="J20" s="49" t="s">
        <v>130</v>
      </c>
      <c r="K20" s="49">
        <v>36901031</v>
      </c>
      <c r="L20" s="49" t="s">
        <v>131</v>
      </c>
      <c r="M20" s="43">
        <v>4501970598</v>
      </c>
      <c r="N20" s="44">
        <v>409500</v>
      </c>
      <c r="O20" s="58">
        <f t="shared" si="3"/>
        <v>468000</v>
      </c>
      <c r="P20" s="20"/>
      <c r="Q20" s="20"/>
      <c r="R20" s="20"/>
    </row>
    <row r="21" spans="1:18" s="57" customFormat="1" ht="28.5" hidden="1" x14ac:dyDescent="0.2">
      <c r="A21" s="52">
        <v>25.07</v>
      </c>
      <c r="B21" s="53" t="s">
        <v>61</v>
      </c>
      <c r="C21" s="63" t="s">
        <v>132</v>
      </c>
      <c r="D21" s="55">
        <v>43021</v>
      </c>
      <c r="E21" s="30"/>
      <c r="F21" s="31" t="e">
        <f t="shared" si="2"/>
        <v>#VALUE!</v>
      </c>
      <c r="G21" s="29"/>
      <c r="H21" s="22" t="s">
        <v>133</v>
      </c>
      <c r="I21" s="41">
        <v>38300191</v>
      </c>
      <c r="J21" s="41" t="s">
        <v>12</v>
      </c>
      <c r="K21" s="41">
        <v>36901027</v>
      </c>
      <c r="L21" s="41" t="s">
        <v>64</v>
      </c>
      <c r="M21" s="63">
        <v>4501692198</v>
      </c>
      <c r="N21" s="55">
        <v>43021</v>
      </c>
      <c r="O21" s="56">
        <f t="shared" si="3"/>
        <v>0</v>
      </c>
      <c r="P21" s="20"/>
      <c r="Q21" s="20"/>
      <c r="R21" s="20"/>
    </row>
    <row r="22" spans="1:18" s="57" customFormat="1" hidden="1" x14ac:dyDescent="0.2">
      <c r="A22" s="52">
        <v>25.07</v>
      </c>
      <c r="B22" s="53" t="s">
        <v>134</v>
      </c>
      <c r="C22" s="53" t="s">
        <v>135</v>
      </c>
      <c r="D22" s="55">
        <v>100000</v>
      </c>
      <c r="E22" s="30"/>
      <c r="F22" s="31" t="e">
        <f t="shared" si="2"/>
        <v>#VALUE!</v>
      </c>
      <c r="G22" s="29"/>
      <c r="H22" s="29" t="s">
        <v>136</v>
      </c>
      <c r="I22" s="63">
        <v>38300191</v>
      </c>
      <c r="J22" s="63" t="s">
        <v>12</v>
      </c>
      <c r="K22" s="63">
        <v>3690112</v>
      </c>
      <c r="L22" s="63" t="s">
        <v>23</v>
      </c>
      <c r="M22" s="53">
        <v>4502056655</v>
      </c>
      <c r="N22" s="55">
        <v>100000</v>
      </c>
      <c r="O22" s="56">
        <f t="shared" si="3"/>
        <v>0</v>
      </c>
      <c r="P22" s="20"/>
      <c r="Q22" s="20"/>
      <c r="R22" s="20"/>
    </row>
    <row r="23" spans="1:18" s="57" customFormat="1" hidden="1" x14ac:dyDescent="0.2">
      <c r="A23" s="52">
        <v>25.07</v>
      </c>
      <c r="B23" s="53" t="s">
        <v>137</v>
      </c>
      <c r="C23" s="53" t="s">
        <v>138</v>
      </c>
      <c r="D23" s="55">
        <f>237600*1.17</f>
        <v>277992</v>
      </c>
      <c r="E23" s="30"/>
      <c r="F23" s="31" t="e">
        <f t="shared" si="2"/>
        <v>#VALUE!</v>
      </c>
      <c r="G23" s="29"/>
      <c r="H23" s="29" t="s">
        <v>136</v>
      </c>
      <c r="I23" s="63">
        <v>38300191</v>
      </c>
      <c r="J23" s="63" t="s">
        <v>12</v>
      </c>
      <c r="K23" s="63">
        <v>36901021</v>
      </c>
      <c r="L23" s="63" t="s">
        <v>15</v>
      </c>
      <c r="M23" s="53">
        <v>4501791770</v>
      </c>
      <c r="N23" s="55">
        <v>276822</v>
      </c>
      <c r="O23" s="56">
        <f t="shared" si="3"/>
        <v>1170</v>
      </c>
      <c r="P23" s="20"/>
      <c r="Q23" s="20"/>
      <c r="R23" s="20"/>
    </row>
    <row r="24" spans="1:18" s="57" customFormat="1" hidden="1" x14ac:dyDescent="0.2">
      <c r="A24" s="52">
        <v>26.07</v>
      </c>
      <c r="B24" s="53" t="s">
        <v>139</v>
      </c>
      <c r="C24" s="65" t="s">
        <v>140</v>
      </c>
      <c r="D24" s="55">
        <v>8101</v>
      </c>
      <c r="E24" s="30"/>
      <c r="F24" s="31" t="e">
        <f t="shared" si="2"/>
        <v>#VALUE!</v>
      </c>
      <c r="G24" s="29"/>
      <c r="H24" s="29"/>
      <c r="I24" s="63">
        <v>38300191</v>
      </c>
      <c r="J24" s="63" t="s">
        <v>12</v>
      </c>
      <c r="K24" s="63">
        <v>36901024</v>
      </c>
      <c r="L24" s="63" t="s">
        <v>13</v>
      </c>
      <c r="M24" s="53">
        <v>4502058620</v>
      </c>
      <c r="N24" s="55">
        <v>8101.08</v>
      </c>
      <c r="O24" s="56">
        <f t="shared" si="3"/>
        <v>-7.999999999992724E-2</v>
      </c>
      <c r="P24" s="20"/>
      <c r="Q24" s="20"/>
      <c r="R24" s="20"/>
    </row>
    <row r="25" spans="1:18" s="57" customFormat="1" hidden="1" x14ac:dyDescent="0.2">
      <c r="A25" s="52">
        <v>29.07</v>
      </c>
      <c r="B25" s="53" t="s">
        <v>141</v>
      </c>
      <c r="C25" s="53" t="s">
        <v>142</v>
      </c>
      <c r="D25" s="64">
        <v>8242</v>
      </c>
      <c r="E25" s="30"/>
      <c r="F25" s="31" t="e">
        <f t="shared" si="2"/>
        <v>#VALUE!</v>
      </c>
      <c r="G25" s="29"/>
      <c r="H25" s="29"/>
      <c r="I25" s="63">
        <v>38300191</v>
      </c>
      <c r="J25" s="63" t="s">
        <v>12</v>
      </c>
      <c r="K25" s="63">
        <v>36901022</v>
      </c>
      <c r="L25" s="63" t="s">
        <v>16</v>
      </c>
      <c r="M25" s="53">
        <v>4502058624</v>
      </c>
      <c r="N25" s="55">
        <v>8424</v>
      </c>
      <c r="O25" s="56">
        <f t="shared" si="3"/>
        <v>-182</v>
      </c>
      <c r="P25" s="20"/>
      <c r="Q25" s="20"/>
      <c r="R25" s="20"/>
    </row>
    <row r="26" spans="1:18" s="57" customFormat="1" hidden="1" x14ac:dyDescent="0.2">
      <c r="A26" s="52">
        <v>29.07</v>
      </c>
      <c r="B26" s="53" t="s">
        <v>143</v>
      </c>
      <c r="C26" s="54" t="s">
        <v>144</v>
      </c>
      <c r="D26" s="55">
        <f>15100*1.17</f>
        <v>17667</v>
      </c>
      <c r="E26" s="30"/>
      <c r="F26" s="31" t="e">
        <f t="shared" si="2"/>
        <v>#VALUE!</v>
      </c>
      <c r="G26" s="29"/>
      <c r="H26" s="29"/>
      <c r="I26" s="63">
        <v>38300191</v>
      </c>
      <c r="J26" s="63" t="s">
        <v>12</v>
      </c>
      <c r="K26" s="63">
        <v>3690112</v>
      </c>
      <c r="L26" s="63" t="s">
        <v>23</v>
      </c>
      <c r="M26" s="53">
        <v>4502058631</v>
      </c>
      <c r="N26" s="55">
        <v>17667</v>
      </c>
      <c r="O26" s="56">
        <f t="shared" si="3"/>
        <v>0</v>
      </c>
      <c r="P26" s="20"/>
      <c r="Q26" s="20"/>
      <c r="R26" s="20"/>
    </row>
    <row r="27" spans="1:18" s="57" customFormat="1" ht="28.5" hidden="1" x14ac:dyDescent="0.2">
      <c r="A27" s="52">
        <v>29.07</v>
      </c>
      <c r="B27" s="53" t="s">
        <v>145</v>
      </c>
      <c r="C27" s="53" t="s">
        <v>146</v>
      </c>
      <c r="D27" s="55">
        <v>171873</v>
      </c>
      <c r="E27" s="30"/>
      <c r="F27" s="31" t="e">
        <f t="shared" si="2"/>
        <v>#VALUE!</v>
      </c>
      <c r="G27" s="29"/>
      <c r="H27" s="29" t="s">
        <v>147</v>
      </c>
      <c r="I27" s="63">
        <v>38300191</v>
      </c>
      <c r="J27" s="63" t="s">
        <v>12</v>
      </c>
      <c r="K27" s="63">
        <v>36901021</v>
      </c>
      <c r="L27" s="63" t="s">
        <v>15</v>
      </c>
      <c r="M27" s="53">
        <v>4502057989</v>
      </c>
      <c r="N27" s="55">
        <v>171873</v>
      </c>
      <c r="O27" s="56">
        <f t="shared" si="3"/>
        <v>0</v>
      </c>
      <c r="P27" s="20"/>
      <c r="Q27" s="20"/>
      <c r="R27" s="20"/>
    </row>
    <row r="28" spans="1:18" s="57" customFormat="1" hidden="1" x14ac:dyDescent="0.2">
      <c r="A28" s="52">
        <v>29.07</v>
      </c>
      <c r="B28" s="53" t="s">
        <v>148</v>
      </c>
      <c r="C28" s="53" t="s">
        <v>149</v>
      </c>
      <c r="D28" s="55">
        <f>20000*1.17</f>
        <v>23400</v>
      </c>
      <c r="E28" s="30"/>
      <c r="F28" s="31" t="e">
        <f t="shared" si="2"/>
        <v>#VALUE!</v>
      </c>
      <c r="G28" s="29"/>
      <c r="H28" s="29"/>
      <c r="I28" s="63">
        <v>38300191</v>
      </c>
      <c r="J28" s="63" t="s">
        <v>12</v>
      </c>
      <c r="K28" s="63">
        <v>36901024</v>
      </c>
      <c r="L28" s="63" t="s">
        <v>13</v>
      </c>
      <c r="M28" s="53">
        <v>4502015299</v>
      </c>
      <c r="N28" s="55">
        <v>23400</v>
      </c>
      <c r="O28" s="56">
        <f t="shared" si="3"/>
        <v>0</v>
      </c>
      <c r="P28" s="20"/>
      <c r="Q28" s="20"/>
      <c r="R28" s="20"/>
    </row>
    <row r="29" spans="1:18" x14ac:dyDescent="0.2">
      <c r="A29" s="45"/>
      <c r="B29" s="29"/>
      <c r="C29" s="29"/>
      <c r="D29" s="30"/>
      <c r="E29" s="30"/>
      <c r="F29" s="31"/>
      <c r="G29" s="29"/>
      <c r="H29" s="29"/>
      <c r="I29" s="60"/>
      <c r="J29" s="60"/>
      <c r="K29" s="60"/>
      <c r="L29" s="60"/>
      <c r="M29" s="29"/>
      <c r="N29" s="44">
        <f>SUBTOTAL(109,Table1[שווי שורה/ הגדלה ])</f>
        <v>227506.62</v>
      </c>
      <c r="O29" s="61"/>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98F1C-4AE6-43CF-90B9-B560C496C208}">
  <dimension ref="A1:J38"/>
  <sheetViews>
    <sheetView rightToLeft="1" zoomScale="90" zoomScaleNormal="90" workbookViewId="0">
      <pane ySplit="1" topLeftCell="A2" activePane="bottomLeft" state="frozen"/>
      <selection pane="bottomLeft" activeCell="A10" sqref="A10"/>
    </sheetView>
  </sheetViews>
  <sheetFormatPr defaultRowHeight="14.25" x14ac:dyDescent="0.2"/>
  <cols>
    <col min="2" max="2" width="12.125" customWidth="1"/>
    <col min="3" max="3" width="47.75" customWidth="1"/>
    <col min="4" max="4" width="14.875" style="21" customWidth="1"/>
    <col min="5" max="5" width="14.125" customWidth="1"/>
    <col min="6" max="6" width="14.75" style="21" bestFit="1" customWidth="1"/>
    <col min="7" max="7" width="15.875" style="21" customWidth="1"/>
    <col min="8" max="8" width="15.875" customWidth="1"/>
    <col min="9" max="9" width="12.375" bestFit="1" customWidth="1"/>
    <col min="10" max="10" width="14.125" bestFit="1" customWidth="1"/>
  </cols>
  <sheetData>
    <row r="1" spans="1:10" s="13" customFormat="1" ht="28.5" x14ac:dyDescent="0.2">
      <c r="A1" s="13" t="s">
        <v>17</v>
      </c>
      <c r="B1" s="13" t="s">
        <v>18</v>
      </c>
      <c r="C1" s="13" t="s">
        <v>19</v>
      </c>
      <c r="D1" s="23" t="s">
        <v>20</v>
      </c>
      <c r="E1" s="13" t="s">
        <v>21</v>
      </c>
      <c r="F1" s="23" t="s">
        <v>22</v>
      </c>
      <c r="G1" s="23" t="s">
        <v>24</v>
      </c>
      <c r="H1" s="13" t="s">
        <v>28</v>
      </c>
      <c r="I1" s="13" t="s">
        <v>29</v>
      </c>
      <c r="J1" s="13" t="s">
        <v>30</v>
      </c>
    </row>
    <row r="2" spans="1:10" ht="57" x14ac:dyDescent="0.2">
      <c r="A2">
        <v>34637</v>
      </c>
      <c r="B2" t="s">
        <v>26</v>
      </c>
      <c r="C2" s="20" t="s">
        <v>31</v>
      </c>
      <c r="D2" s="21">
        <v>5800000</v>
      </c>
      <c r="E2" t="s">
        <v>14</v>
      </c>
      <c r="F2" s="21">
        <v>5800000</v>
      </c>
      <c r="G2" s="21">
        <f>[1]!טבלה3[[#This Row],[סכום מבוקש]]-[1]!טבלה3[[#This Row],[סכום מאושר]]</f>
        <v>0</v>
      </c>
      <c r="H2" s="21"/>
      <c r="I2" s="21"/>
      <c r="J2" s="21">
        <f>[2]!טבלה3[[#This Row],[סכום מאושר]]-[2]!טבלה3[[#This Row],[ניצול מתוך הפנייה ]]</f>
        <v>5800000</v>
      </c>
    </row>
    <row r="3" spans="1:10" ht="28.5" x14ac:dyDescent="0.2">
      <c r="A3">
        <v>34657</v>
      </c>
      <c r="B3" t="s">
        <v>27</v>
      </c>
      <c r="C3" s="20" t="s">
        <v>32</v>
      </c>
      <c r="D3" s="21">
        <v>7500000</v>
      </c>
      <c r="E3" t="s">
        <v>14</v>
      </c>
      <c r="F3" s="21">
        <v>7500000</v>
      </c>
      <c r="G3" s="21">
        <f>[1]!טבלה3[[#This Row],[סכום מבוקש]]-[1]!טבלה3[[#This Row],[סכום מאושר]]</f>
        <v>0</v>
      </c>
      <c r="H3" s="21"/>
      <c r="I3" s="21">
        <f>'[3]2021'!$N$45</f>
        <v>2949415.3800000004</v>
      </c>
      <c r="J3" s="21">
        <f>[2]!טבלה3[[#This Row],[סכום מאושר]]-[2]!טבלה3[[#This Row],[ניצול מתוך הפנייה ]]</f>
        <v>4550584.6199999992</v>
      </c>
    </row>
    <row r="4" spans="1:10" x14ac:dyDescent="0.2">
      <c r="A4">
        <v>34803</v>
      </c>
      <c r="B4" t="s">
        <v>33</v>
      </c>
      <c r="C4" t="s">
        <v>34</v>
      </c>
      <c r="D4" s="21">
        <v>27500000</v>
      </c>
      <c r="E4" t="s">
        <v>14</v>
      </c>
      <c r="F4" s="21">
        <v>27500000</v>
      </c>
      <c r="G4" s="21">
        <f>[1]!טבלה3[[#This Row],[סכום מבוקש]]-[1]!טבלה3[[#This Row],[סכום מאושר]]</f>
        <v>0</v>
      </c>
      <c r="H4" s="21"/>
      <c r="I4" s="21">
        <f>'[4]חישובי יתרה'!$D$21</f>
        <v>5630872.7412999999</v>
      </c>
      <c r="J4" s="21">
        <f>[2]!טבלה3[[#This Row],[סכום מאושר]]-[2]!טבלה3[[#This Row],[ניצול מתוך הפנייה ]]</f>
        <v>21869127.258699998</v>
      </c>
    </row>
    <row r="5" spans="1:10" ht="42.75" x14ac:dyDescent="0.2">
      <c r="A5">
        <v>34894</v>
      </c>
      <c r="B5" t="s">
        <v>35</v>
      </c>
      <c r="C5" s="20" t="s">
        <v>36</v>
      </c>
      <c r="D5" s="21">
        <v>175500</v>
      </c>
      <c r="E5" t="s">
        <v>37</v>
      </c>
      <c r="G5" s="21">
        <f>[1]!טבלה3[[#This Row],[סכום מבוקש]]-[1]!טבלה3[[#This Row],[סכום מאושר]]</f>
        <v>175500</v>
      </c>
      <c r="H5" s="24" t="s">
        <v>38</v>
      </c>
      <c r="I5" s="21"/>
      <c r="J5" s="21">
        <f>[2]!טבלה3[[#This Row],[סכום מאושר]]-[2]!טבלה3[[#This Row],[ניצול מתוך הפנייה ]]</f>
        <v>0</v>
      </c>
    </row>
    <row r="6" spans="1:10" ht="85.5" x14ac:dyDescent="0.2">
      <c r="A6">
        <v>35092</v>
      </c>
      <c r="B6" t="s">
        <v>39</v>
      </c>
      <c r="C6" s="20" t="s">
        <v>40</v>
      </c>
      <c r="D6" s="21">
        <v>527700000</v>
      </c>
      <c r="E6" t="s">
        <v>14</v>
      </c>
      <c r="F6" s="21">
        <f>טבלה3[[#This Row],[סכום מבוקש]]</f>
        <v>527700000</v>
      </c>
      <c r="G6" s="21">
        <f>[1]!טבלה3[[#This Row],[סכום מבוקש]]-[1]!טבלה3[[#This Row],[סכום מאושר]]</f>
        <v>0</v>
      </c>
      <c r="H6" s="20" t="s">
        <v>41</v>
      </c>
      <c r="I6" s="21"/>
      <c r="J6" s="21">
        <f>[2]!טבלה3[[#This Row],[סכום מאושר]]-[2]!טבלה3[[#This Row],[ניצול מתוך הפנייה ]]</f>
        <v>527700000</v>
      </c>
    </row>
    <row r="7" spans="1:10" ht="28.5" x14ac:dyDescent="0.2">
      <c r="A7">
        <v>35254</v>
      </c>
      <c r="B7" t="s">
        <v>42</v>
      </c>
      <c r="C7" s="27" t="s">
        <v>43</v>
      </c>
      <c r="D7" s="21">
        <v>415584</v>
      </c>
      <c r="E7" t="s">
        <v>14</v>
      </c>
      <c r="F7" s="21">
        <f>טבלה3[[#This Row],[סכום מבוקש]]</f>
        <v>415584</v>
      </c>
      <c r="G7" s="21">
        <f>[1]!טבלה3[[#This Row],[סכום מבוקש]]-[1]!טבלה3[[#This Row],[סכום מאושר]]</f>
        <v>0</v>
      </c>
      <c r="H7" s="28" t="s">
        <v>44</v>
      </c>
      <c r="I7" s="21"/>
      <c r="J7" s="21">
        <f>[2]!טבלה3[[#This Row],[סכום מאושר]]-[2]!טבלה3[[#This Row],[ניצול מתוך הפנייה ]]</f>
        <v>415584</v>
      </c>
    </row>
    <row r="8" spans="1:10" ht="85.5" x14ac:dyDescent="0.2">
      <c r="A8">
        <v>35320</v>
      </c>
      <c r="B8" t="s">
        <v>45</v>
      </c>
      <c r="C8" s="27" t="s">
        <v>46</v>
      </c>
      <c r="D8" s="21">
        <v>150000</v>
      </c>
      <c r="E8" t="s">
        <v>14</v>
      </c>
      <c r="F8" s="21">
        <f>טבלה3[[#This Row],[סכום מבוקש]]</f>
        <v>150000</v>
      </c>
      <c r="G8" s="21">
        <f>[1]!טבלה3[[#This Row],[סכום מבוקש]]-[1]!טבלה3[[#This Row],[סכום מאושר]]</f>
        <v>0</v>
      </c>
      <c r="H8" s="21"/>
      <c r="I8" s="21"/>
      <c r="J8" s="21">
        <f>[2]!טבלה3[[#This Row],[סכום מאושר]]-[2]!טבלה3[[#This Row],[ניצול מתוך הפנייה ]]</f>
        <v>150000</v>
      </c>
    </row>
    <row r="9" spans="1:10" ht="28.5" x14ac:dyDescent="0.2">
      <c r="A9">
        <v>35363</v>
      </c>
      <c r="B9" t="s">
        <v>47</v>
      </c>
      <c r="C9" s="20" t="s">
        <v>48</v>
      </c>
      <c r="D9" s="21">
        <v>234000</v>
      </c>
      <c r="E9" t="s">
        <v>14</v>
      </c>
      <c r="F9" s="21">
        <f>טבלה3[[#This Row],[סכום מבוקש]]</f>
        <v>234000</v>
      </c>
      <c r="H9" s="21"/>
      <c r="I9" s="21"/>
      <c r="J9" s="21">
        <f>[2]!טבלה3[[#This Row],[סכום מאושר]]-[2]!טבלה3[[#This Row],[ניצול מתוך הפנייה ]]</f>
        <v>234000</v>
      </c>
    </row>
    <row r="10" spans="1:10" x14ac:dyDescent="0.2">
      <c r="A10">
        <v>36094</v>
      </c>
      <c r="B10" t="s">
        <v>63</v>
      </c>
      <c r="C10" t="s">
        <v>66</v>
      </c>
      <c r="D10" s="21">
        <v>877500</v>
      </c>
      <c r="E10" t="s">
        <v>14</v>
      </c>
      <c r="F10" s="21">
        <v>877500</v>
      </c>
      <c r="H10" s="21"/>
      <c r="I10" s="21"/>
      <c r="J10" s="21">
        <f>[2]!טבלה3[[#This Row],[סכום מאושר]]-[2]!טבלה3[[#This Row],[ניצול מתוך הפנייה ]]</f>
        <v>877500</v>
      </c>
    </row>
    <row r="11" spans="1:10" x14ac:dyDescent="0.2">
      <c r="A11" s="47">
        <v>36386</v>
      </c>
      <c r="B11" t="s">
        <v>109</v>
      </c>
      <c r="C11" t="s">
        <v>150</v>
      </c>
      <c r="D11" s="21">
        <v>526500</v>
      </c>
      <c r="E11" t="s">
        <v>37</v>
      </c>
      <c r="F11" s="21">
        <v>526500</v>
      </c>
      <c r="H11" s="21"/>
      <c r="I11" s="21"/>
      <c r="J11" s="21">
        <f>[2]!טבלה3[[#This Row],[סכום מאושר]]-[2]!טבלה3[[#This Row],[ניצול מתוך הפנייה ]]</f>
        <v>0</v>
      </c>
    </row>
    <row r="12" spans="1:10" x14ac:dyDescent="0.2">
      <c r="H12" s="21"/>
      <c r="I12" s="21"/>
      <c r="J12" s="21"/>
    </row>
    <row r="13" spans="1:10" x14ac:dyDescent="0.2">
      <c r="H13" s="21"/>
      <c r="I13" s="21"/>
      <c r="J13" s="21"/>
    </row>
    <row r="14" spans="1:10" x14ac:dyDescent="0.2">
      <c r="H14" s="21"/>
      <c r="I14" s="21"/>
      <c r="J14" s="21"/>
    </row>
    <row r="15" spans="1:10" x14ac:dyDescent="0.2">
      <c r="H15" s="21"/>
      <c r="I15" s="21"/>
      <c r="J15" s="21"/>
    </row>
    <row r="16" spans="1:10" x14ac:dyDescent="0.2">
      <c r="H16" s="21"/>
      <c r="I16" s="21"/>
      <c r="J16" s="21"/>
    </row>
    <row r="17" spans="8:10" x14ac:dyDescent="0.2">
      <c r="H17" s="21"/>
      <c r="I17" s="21"/>
      <c r="J17" s="21"/>
    </row>
    <row r="18" spans="8:10" x14ac:dyDescent="0.2">
      <c r="H18" s="21"/>
      <c r="I18" s="21"/>
      <c r="J18" s="21"/>
    </row>
    <row r="19" spans="8:10" x14ac:dyDescent="0.2">
      <c r="H19" s="21"/>
      <c r="I19" s="21"/>
      <c r="J19" s="21"/>
    </row>
    <row r="20" spans="8:10" x14ac:dyDescent="0.2">
      <c r="H20" s="21"/>
      <c r="I20" s="21"/>
      <c r="J20" s="21"/>
    </row>
    <row r="21" spans="8:10" x14ac:dyDescent="0.2">
      <c r="H21" s="21"/>
      <c r="I21" s="21"/>
      <c r="J21" s="21"/>
    </row>
    <row r="22" spans="8:10" x14ac:dyDescent="0.2">
      <c r="H22" s="21"/>
      <c r="I22" s="21"/>
      <c r="J22" s="21"/>
    </row>
    <row r="23" spans="8:10" x14ac:dyDescent="0.2">
      <c r="H23" s="21"/>
      <c r="I23" s="21"/>
      <c r="J23" s="21"/>
    </row>
    <row r="24" spans="8:10" x14ac:dyDescent="0.2">
      <c r="H24" s="21"/>
      <c r="I24" s="21"/>
      <c r="J24" s="21"/>
    </row>
    <row r="25" spans="8:10" x14ac:dyDescent="0.2">
      <c r="H25" s="21"/>
      <c r="I25" s="21"/>
      <c r="J25" s="21"/>
    </row>
    <row r="26" spans="8:10" x14ac:dyDescent="0.2">
      <c r="H26" s="21"/>
      <c r="I26" s="21"/>
      <c r="J26" s="21"/>
    </row>
    <row r="27" spans="8:10" x14ac:dyDescent="0.2">
      <c r="H27" s="21"/>
      <c r="I27" s="21"/>
      <c r="J27" s="21"/>
    </row>
    <row r="28" spans="8:10" x14ac:dyDescent="0.2">
      <c r="H28" s="21"/>
      <c r="I28" s="21"/>
      <c r="J28" s="21"/>
    </row>
    <row r="29" spans="8:10" x14ac:dyDescent="0.2">
      <c r="H29" s="21"/>
      <c r="I29" s="21"/>
      <c r="J29" s="21"/>
    </row>
    <row r="30" spans="8:10" x14ac:dyDescent="0.2">
      <c r="H30" s="21"/>
      <c r="I30" s="21"/>
      <c r="J30" s="21"/>
    </row>
    <row r="31" spans="8:10" x14ac:dyDescent="0.2">
      <c r="H31" s="21"/>
      <c r="I31" s="21"/>
      <c r="J31" s="21"/>
    </row>
    <row r="32" spans="8:10" x14ac:dyDescent="0.2">
      <c r="H32" s="21"/>
      <c r="I32" s="21"/>
      <c r="J32" s="21"/>
    </row>
    <row r="33" spans="8:10" x14ac:dyDescent="0.2">
      <c r="H33" s="21"/>
      <c r="I33" s="21"/>
      <c r="J33" s="21"/>
    </row>
    <row r="34" spans="8:10" x14ac:dyDescent="0.2">
      <c r="H34" s="21"/>
      <c r="I34" s="21"/>
      <c r="J34" s="21"/>
    </row>
    <row r="35" spans="8:10" x14ac:dyDescent="0.2">
      <c r="H35" s="21"/>
      <c r="I35" s="21"/>
      <c r="J35" s="21"/>
    </row>
    <row r="36" spans="8:10" x14ac:dyDescent="0.2">
      <c r="H36" s="21"/>
      <c r="I36" s="21"/>
      <c r="J36" s="21"/>
    </row>
    <row r="37" spans="8:10" x14ac:dyDescent="0.2">
      <c r="H37" s="21"/>
      <c r="I37" s="21"/>
      <c r="J37" s="21"/>
    </row>
    <row r="38" spans="8:10" x14ac:dyDescent="0.2">
      <c r="H38" s="21"/>
      <c r="I38" s="21"/>
      <c r="J38" s="21"/>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73DD-E16A-4395-8696-4AB4A114C2A3}">
  <dimension ref="A1:F20"/>
  <sheetViews>
    <sheetView rightToLeft="1" tabSelected="1" workbookViewId="0">
      <pane xSplit="4" ySplit="7" topLeftCell="E8" activePane="bottomRight" state="frozen"/>
      <selection pane="topRight" activeCell="E1" sqref="E1"/>
      <selection pane="bottomLeft" activeCell="A8" sqref="A8"/>
      <selection pane="bottomRight" activeCell="C25" sqref="C25"/>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0</v>
      </c>
      <c r="D2" s="17" t="s">
        <v>151</v>
      </c>
      <c r="F2"/>
    </row>
    <row r="3" spans="1:6" s="3" customFormat="1" ht="15.75" x14ac:dyDescent="0.25">
      <c r="C3" s="19" t="s">
        <v>1</v>
      </c>
      <c r="D3" s="5"/>
      <c r="F3"/>
    </row>
    <row r="4" spans="1:6" s="3" customFormat="1" ht="15.75" x14ac:dyDescent="0.25">
      <c r="C4" s="6" t="s">
        <v>25</v>
      </c>
      <c r="D4" s="7"/>
      <c r="F4"/>
    </row>
    <row r="5" spans="1:6" s="3" customFormat="1" ht="15" x14ac:dyDescent="0.25">
      <c r="C5" s="8"/>
      <c r="D5" s="9"/>
      <c r="F5"/>
    </row>
    <row r="6" spans="1:6" s="3" customFormat="1" ht="15.75" thickBot="1" x14ac:dyDescent="0.3">
      <c r="C6" s="10" t="s">
        <v>152</v>
      </c>
      <c r="D6" s="11"/>
      <c r="F6"/>
    </row>
    <row r="7" spans="1:6" ht="28.5" x14ac:dyDescent="0.2">
      <c r="A7" s="12" t="s">
        <v>2</v>
      </c>
      <c r="B7" s="12" t="s">
        <v>3</v>
      </c>
      <c r="C7" s="12" t="s">
        <v>4</v>
      </c>
      <c r="D7" s="13" t="s">
        <v>5</v>
      </c>
    </row>
    <row r="8" spans="1:6" s="16" customFormat="1" ht="15" x14ac:dyDescent="0.25">
      <c r="A8" s="14">
        <v>1</v>
      </c>
      <c r="B8" s="15"/>
      <c r="C8" s="15" t="s">
        <v>164</v>
      </c>
      <c r="D8" s="26">
        <v>3529</v>
      </c>
    </row>
    <row r="9" spans="1:6" s="16" customFormat="1" ht="15" x14ac:dyDescent="0.25">
      <c r="A9" s="14">
        <v>2</v>
      </c>
      <c r="B9" s="15"/>
      <c r="C9" s="15" t="s">
        <v>142</v>
      </c>
      <c r="D9" s="26">
        <v>8424</v>
      </c>
    </row>
    <row r="10" spans="1:6" s="16" customFormat="1" ht="15" x14ac:dyDescent="0.25">
      <c r="A10" s="14">
        <v>3</v>
      </c>
      <c r="B10" s="15"/>
      <c r="C10" s="15" t="s">
        <v>158</v>
      </c>
      <c r="D10" s="26">
        <v>32397</v>
      </c>
    </row>
    <row r="11" spans="1:6" s="16" customFormat="1" ht="15" x14ac:dyDescent="0.25">
      <c r="A11" s="14">
        <v>4</v>
      </c>
      <c r="B11" s="15"/>
      <c r="C11" s="15" t="s">
        <v>162</v>
      </c>
      <c r="D11" s="26">
        <v>43021</v>
      </c>
    </row>
    <row r="12" spans="1:6" s="16" customFormat="1" ht="15" x14ac:dyDescent="0.25">
      <c r="A12" s="14">
        <v>5</v>
      </c>
      <c r="B12" s="15"/>
      <c r="C12" s="15" t="s">
        <v>161</v>
      </c>
      <c r="D12" s="26">
        <v>61600.5</v>
      </c>
    </row>
    <row r="13" spans="1:6" s="16" customFormat="1" ht="15" x14ac:dyDescent="0.25">
      <c r="A13" s="14">
        <v>6</v>
      </c>
      <c r="B13" s="25"/>
      <c r="C13" s="25" t="s">
        <v>160</v>
      </c>
      <c r="D13" s="26">
        <v>89561.48</v>
      </c>
    </row>
    <row r="14" spans="1:6" s="16" customFormat="1" ht="15" x14ac:dyDescent="0.25">
      <c r="A14" s="14">
        <v>7</v>
      </c>
      <c r="B14" s="15"/>
      <c r="C14" s="15" t="s">
        <v>159</v>
      </c>
      <c r="D14" s="26">
        <f>'דוח החרגות'!N27</f>
        <v>171873</v>
      </c>
    </row>
    <row r="15" spans="1:6" s="16" customFormat="1" ht="15" x14ac:dyDescent="0.25">
      <c r="A15" s="14">
        <v>8</v>
      </c>
      <c r="B15" s="15"/>
      <c r="C15" s="18" t="s">
        <v>157</v>
      </c>
      <c r="D15" s="26">
        <v>178764</v>
      </c>
    </row>
    <row r="16" spans="1:6" ht="15" x14ac:dyDescent="0.25">
      <c r="A16" s="14">
        <v>9</v>
      </c>
      <c r="B16" s="25"/>
      <c r="C16" s="25" t="s">
        <v>163</v>
      </c>
      <c r="D16" s="26">
        <v>227506.62</v>
      </c>
    </row>
    <row r="17" spans="1:4" ht="30" x14ac:dyDescent="0.25">
      <c r="A17" s="14">
        <v>10</v>
      </c>
      <c r="B17" s="15"/>
      <c r="C17" s="15" t="s">
        <v>153</v>
      </c>
      <c r="D17" s="26">
        <v>409500</v>
      </c>
    </row>
    <row r="18" spans="1:4" s="16" customFormat="1" ht="15" x14ac:dyDescent="0.25">
      <c r="A18" s="14">
        <v>11</v>
      </c>
      <c r="B18" s="15"/>
      <c r="C18" s="15" t="s">
        <v>156</v>
      </c>
      <c r="D18" s="26">
        <f>169650+'דוח החרגות'!N23</f>
        <v>446472</v>
      </c>
    </row>
    <row r="19" spans="1:4" s="16" customFormat="1" ht="15" x14ac:dyDescent="0.25">
      <c r="A19" s="14">
        <v>12</v>
      </c>
      <c r="B19" s="15"/>
      <c r="C19" s="15" t="s">
        <v>154</v>
      </c>
      <c r="D19" s="26">
        <v>3400000</v>
      </c>
    </row>
    <row r="20" spans="1:4" ht="15" x14ac:dyDescent="0.25">
      <c r="A20" s="48"/>
      <c r="B20" s="25"/>
      <c r="C20" s="25"/>
      <c r="D20" s="50">
        <f>SUBTOTAL(109,Table1332323235242424[סכום ההתקשרות (סכום ההתקשרות ולא סכום המזומן)])</f>
        <v>5072648.5999999996</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יוני</vt:lpstr>
      <vt:lpstr>דוח החרגות</vt:lpstr>
      <vt:lpstr>דוח פניות לאוצר 2021</vt:lpstr>
      <vt:lpstr>יולי</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Shira Vegotzky</dc:creator>
  <cp:keywords/>
  <dc:description/>
  <cp:lastModifiedBy>Shira Vegotzky</cp:lastModifiedBy>
  <dcterms:created xsi:type="dcterms:W3CDTF">2020-05-03T06:35:46Z</dcterms:created>
  <dcterms:modified xsi:type="dcterms:W3CDTF">2021-08-15T10:41:42Z</dcterms:modified>
  <cp:category/>
</cp:coreProperties>
</file>